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3"/>
  </bookViews>
  <sheets>
    <sheet name="19 Rdo aj por hab" sheetId="1" r:id="rId1"/>
    <sheet name="21 y 34 por hab" sheetId="2" r:id="rId2"/>
    <sheet name="27 28 y 30 Duda Publica" sheetId="3" r:id="rId3"/>
    <sheet name="35 y 36 Urban sobre Ppo inicial" sheetId="4" r:id="rId4"/>
  </sheets>
  <externalReferences>
    <externalReference r:id="rId5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5" i="4" l="1"/>
  <c r="L25" i="4"/>
  <c r="K25" i="4"/>
  <c r="J25" i="4"/>
  <c r="I25" i="4"/>
  <c r="H25" i="4"/>
  <c r="G25" i="4"/>
  <c r="F25" i="4"/>
  <c r="E25" i="4"/>
  <c r="D25" i="4"/>
  <c r="C25" i="4"/>
  <c r="L19" i="4"/>
  <c r="H19" i="4"/>
  <c r="F19" i="4"/>
  <c r="D19" i="4"/>
  <c r="M10" i="4"/>
  <c r="M19" i="4" s="1"/>
  <c r="L10" i="4"/>
  <c r="K10" i="4"/>
  <c r="K19" i="4" s="1"/>
  <c r="J10" i="4"/>
  <c r="J19" i="4" s="1"/>
  <c r="I10" i="4"/>
  <c r="I19" i="4" s="1"/>
  <c r="H10" i="4"/>
  <c r="G10" i="4"/>
  <c r="G19" i="4" s="1"/>
  <c r="F10" i="4"/>
  <c r="E10" i="4"/>
  <c r="E19" i="4" s="1"/>
  <c r="D10" i="4"/>
  <c r="C10" i="4"/>
  <c r="C19" i="4" s="1"/>
  <c r="M7" i="4"/>
  <c r="L7" i="4"/>
  <c r="K7" i="4"/>
  <c r="J7" i="4"/>
  <c r="I7" i="4"/>
  <c r="H7" i="4"/>
  <c r="G7" i="4"/>
  <c r="F7" i="4"/>
  <c r="E7" i="4"/>
  <c r="D7" i="4"/>
  <c r="C7" i="4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T37" i="2"/>
  <c r="S37" i="2"/>
  <c r="R37" i="2"/>
  <c r="Q37" i="2"/>
  <c r="P37" i="2"/>
  <c r="O37" i="2"/>
  <c r="N37" i="2"/>
  <c r="M37" i="2"/>
  <c r="L37" i="2"/>
  <c r="K37" i="2"/>
  <c r="T31" i="2"/>
  <c r="S31" i="2"/>
  <c r="R31" i="2"/>
  <c r="Q31" i="2"/>
  <c r="P31" i="2"/>
  <c r="O31" i="2"/>
  <c r="N31" i="2"/>
  <c r="M31" i="2"/>
  <c r="L31" i="2"/>
  <c r="K31" i="2"/>
  <c r="J26" i="2"/>
  <c r="I26" i="2"/>
  <c r="H26" i="2"/>
  <c r="G26" i="2"/>
  <c r="F26" i="2"/>
  <c r="E26" i="2"/>
  <c r="D26" i="2"/>
  <c r="C26" i="2"/>
  <c r="S24" i="2"/>
  <c r="O24" i="2"/>
  <c r="K24" i="2"/>
  <c r="G24" i="2"/>
  <c r="C24" i="2"/>
  <c r="S22" i="2"/>
  <c r="R22" i="2"/>
  <c r="R24" i="2" s="1"/>
  <c r="Q22" i="2"/>
  <c r="Q24" i="2" s="1"/>
  <c r="P22" i="2"/>
  <c r="P24" i="2" s="1"/>
  <c r="O22" i="2"/>
  <c r="N22" i="2"/>
  <c r="N24" i="2" s="1"/>
  <c r="M22" i="2"/>
  <c r="M24" i="2" s="1"/>
  <c r="L22" i="2"/>
  <c r="L24" i="2" s="1"/>
  <c r="K22" i="2"/>
  <c r="J22" i="2"/>
  <c r="J24" i="2" s="1"/>
  <c r="I22" i="2"/>
  <c r="I24" i="2" s="1"/>
  <c r="H22" i="2"/>
  <c r="H24" i="2" s="1"/>
  <c r="G22" i="2"/>
  <c r="F22" i="2"/>
  <c r="F24" i="2" s="1"/>
  <c r="E22" i="2"/>
  <c r="E24" i="2" s="1"/>
  <c r="D22" i="2"/>
  <c r="D24" i="2" s="1"/>
  <c r="C22" i="2"/>
  <c r="T16" i="2"/>
  <c r="T22" i="2" s="1"/>
  <c r="T24" i="2" s="1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C26" i="1"/>
  <c r="E26" i="1" s="1"/>
  <c r="E25" i="1"/>
  <c r="C25" i="1"/>
  <c r="C24" i="1"/>
  <c r="E24" i="1" s="1"/>
  <c r="E23" i="1"/>
  <c r="C23" i="1"/>
  <c r="C22" i="1"/>
  <c r="E22" i="1" s="1"/>
  <c r="E21" i="1"/>
  <c r="C21" i="1"/>
  <c r="C20" i="1"/>
  <c r="E20" i="1" s="1"/>
  <c r="E19" i="1"/>
  <c r="C19" i="1"/>
  <c r="C18" i="1"/>
  <c r="E18" i="1" s="1"/>
  <c r="E17" i="1"/>
  <c r="C17" i="1"/>
  <c r="C16" i="1"/>
  <c r="E16" i="1" s="1"/>
  <c r="E15" i="1"/>
  <c r="C15" i="1"/>
  <c r="C14" i="1"/>
  <c r="E14" i="1" s="1"/>
  <c r="E13" i="1"/>
  <c r="C13" i="1"/>
  <c r="C12" i="1"/>
  <c r="E12" i="1" s="1"/>
  <c r="E11" i="1"/>
  <c r="C11" i="1"/>
  <c r="C10" i="1"/>
  <c r="E10" i="1" s="1"/>
  <c r="E9" i="1"/>
  <c r="C9" i="1"/>
  <c r="C8" i="1"/>
  <c r="E8" i="1" s="1"/>
  <c r="E7" i="1"/>
  <c r="C7" i="1"/>
  <c r="C6" i="1"/>
  <c r="E6" i="1" s="1"/>
</calcChain>
</file>

<file path=xl/sharedStrings.xml><?xml version="1.0" encoding="utf-8"?>
<sst xmlns="http://schemas.openxmlformats.org/spreadsheetml/2006/main" count="66" uniqueCount="53">
  <si>
    <t xml:space="preserve"> EVOLUCION DEL RESULTADO AJUSTADO POR HABITANTE</t>
  </si>
  <si>
    <t>EJERCICIO</t>
  </si>
  <si>
    <t>RESULTADO AJUSTADO</t>
  </si>
  <si>
    <t>HABITANTES</t>
  </si>
  <si>
    <t>RESULTADO
AJUSTADO
POR HAB.</t>
  </si>
  <si>
    <t>EVOLUCION DE LOS DERECHOS RECONOCIDOS Y LAS OBLIGACIONES POR CAPITULOS</t>
  </si>
  <si>
    <t>1.-</t>
  </si>
  <si>
    <t>GASTOS DE PERSONAL</t>
  </si>
  <si>
    <t>2.-</t>
  </si>
  <si>
    <t>GTOS.BIENES CTES. Y SERV.</t>
  </si>
  <si>
    <t>3.-</t>
  </si>
  <si>
    <t>GASTOS FINANCIEROS</t>
  </si>
  <si>
    <t>4.-</t>
  </si>
  <si>
    <t>TRANSF.CORRIENTES</t>
  </si>
  <si>
    <t>6.-</t>
  </si>
  <si>
    <t>INVERSIONES REALES</t>
  </si>
  <si>
    <t>7.-</t>
  </si>
  <si>
    <t>TRANSF.DE CAPITAL</t>
  </si>
  <si>
    <t>8.-</t>
  </si>
  <si>
    <t>ACTIVOS FINANCIEROS</t>
  </si>
  <si>
    <t>9.-</t>
  </si>
  <si>
    <t>PASIVOS FINANCIEROS</t>
  </si>
  <si>
    <t>IMPUESTOS DIRECTOS</t>
  </si>
  <si>
    <t>IMPUESTOS INDIRECTOS</t>
  </si>
  <si>
    <t>TASAS Y OTROS ING.</t>
  </si>
  <si>
    <t>5.-</t>
  </si>
  <si>
    <t>ING.PATRIMONIALES</t>
  </si>
  <si>
    <t>ENAJ.INV.REALES</t>
  </si>
  <si>
    <t>Nº Habitantes</t>
  </si>
  <si>
    <t>Dchos.Rec.Netos Tributarios</t>
  </si>
  <si>
    <t xml:space="preserve">  DRN cap 1, 2 art 30,31,32 y 33</t>
  </si>
  <si>
    <t>Ingresos fiscales/habitante</t>
  </si>
  <si>
    <t>Oblig.Rec.Invers.Infrest</t>
  </si>
  <si>
    <t xml:space="preserve">  ORN  art 60  y 61</t>
  </si>
  <si>
    <t>Inversiones infraest/habitante</t>
  </si>
  <si>
    <t xml:space="preserve"> EVOLUCION DE LA DEUDA VIVA PRESTAMOS</t>
  </si>
  <si>
    <t>DEUDA PDTE
PRESTAMOS</t>
  </si>
  <si>
    <t>IPC 
ANUAL</t>
  </si>
  <si>
    <t>DEUDA PDTE.
DEFLACTADA
A 2020</t>
  </si>
  <si>
    <t>EVOLUCION DE LOS PRESUPUESTOS INICIALES TOTALES RESPECTO A LOS DE URBANISMO</t>
  </si>
  <si>
    <t>Presupuesto inicial ingresos</t>
  </si>
  <si>
    <t>Presuupuesto incial gastos</t>
  </si>
  <si>
    <t>Ppo.inic.ingresos urbanismo</t>
  </si>
  <si>
    <t xml:space="preserve">  116,00.- Imp.Increm..Valor terrenos</t>
  </si>
  <si>
    <t xml:space="preserve">  290,00.- ICIO</t>
  </si>
  <si>
    <t xml:space="preserve">  323,00.- Tasa Docum.Urbanísticos</t>
  </si>
  <si>
    <t xml:space="preserve">  391,00.- Multas urbanísticas</t>
  </si>
  <si>
    <t xml:space="preserve">  399,12.- Gtos ejec.subsidiaria urbanismo</t>
  </si>
  <si>
    <t xml:space="preserve">  552,00.- Dcho,superficie contr.periódica</t>
  </si>
  <si>
    <t>Ppo.ing.inic.urban/Ppo.ing.inic.total</t>
  </si>
  <si>
    <t>Ppo.inic.gastos urbanismo</t>
  </si>
  <si>
    <t xml:space="preserve">  grupo programa 151</t>
  </si>
  <si>
    <t>Ppo.gtos.inic.urban/Ppo.gast.inic.total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</si>
</sst>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);\(#,##0.00\)"/>
    <numFmt numFmtId="165" formatCode="#,##0.00&quot; €&quot;"/>
    <numFmt numFmtId="166" formatCode="0.00\ %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b/>
      <sz val="10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b/>
      <sz val="8"/>
      <name val="Bookman Old Style"/>
      <family val="1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Bookman Old Style"/>
      <family val="1"/>
      <charset val="1"/>
    </font>
    <font>
      <sz val="10"/>
      <color rgb="FF000000"/>
      <name val="Bookman Old Style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2" fillId="0" borderId="0" xfId="0" applyFont="1"/>
    <xf numFmtId="0" fontId="0" fillId="0" borderId="0" xfId="0" applyAlignment="1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0" xfId="0" applyFont="1" applyBorder="1"/>
    <xf numFmtId="1" fontId="2" fillId="0" borderId="0" xfId="0" applyNumberFormat="1" applyFont="1" applyAlignment="1" applyProtection="1">
      <alignment horizontal="center"/>
    </xf>
    <xf numFmtId="4" fontId="2" fillId="0" borderId="0" xfId="0" applyNumberFormat="1" applyFont="1" applyProtection="1"/>
    <xf numFmtId="3" fontId="2" fillId="0" borderId="0" xfId="0" applyNumberFormat="1" applyFont="1" applyProtection="1"/>
    <xf numFmtId="4" fontId="5" fillId="0" borderId="0" xfId="0" applyNumberFormat="1" applyFont="1" applyBorder="1"/>
    <xf numFmtId="164" fontId="2" fillId="0" borderId="0" xfId="0" applyNumberFormat="1" applyFont="1" applyProtection="1"/>
    <xf numFmtId="164" fontId="2" fillId="0" borderId="0" xfId="0" applyNumberFormat="1" applyFont="1"/>
    <xf numFmtId="0" fontId="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 applyProtection="1"/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3" xfId="0" applyFont="1" applyBorder="1" applyAlignment="1" applyProtection="1"/>
    <xf numFmtId="0" fontId="7" fillId="0" borderId="5" xfId="0" applyFont="1" applyBorder="1" applyAlignment="1" applyProtection="1"/>
    <xf numFmtId="4" fontId="5" fillId="0" borderId="3" xfId="0" applyNumberFormat="1" applyFont="1" applyBorder="1" applyProtection="1"/>
    <xf numFmtId="4" fontId="5" fillId="0" borderId="4" xfId="0" applyNumberFormat="1" applyFont="1" applyBorder="1" applyProtection="1"/>
    <xf numFmtId="0" fontId="7" fillId="0" borderId="2" xfId="0" applyFont="1" applyBorder="1" applyAlignment="1" applyProtection="1"/>
    <xf numFmtId="0" fontId="8" fillId="0" borderId="0" xfId="0" applyFont="1" applyAlignment="1" applyProtection="1">
      <alignment horizontal="left"/>
    </xf>
    <xf numFmtId="4" fontId="5" fillId="0" borderId="2" xfId="0" applyNumberFormat="1" applyFont="1" applyBorder="1" applyProtection="1"/>
    <xf numFmtId="4" fontId="5" fillId="0" borderId="6" xfId="0" applyNumberFormat="1" applyFont="1" applyBorder="1" applyProtection="1"/>
    <xf numFmtId="0" fontId="5" fillId="0" borderId="5" xfId="0" applyFont="1" applyBorder="1"/>
    <xf numFmtId="4" fontId="7" fillId="0" borderId="3" xfId="0" applyNumberFormat="1" applyFont="1" applyBorder="1" applyProtection="1"/>
    <xf numFmtId="4" fontId="7" fillId="0" borderId="4" xfId="0" applyNumberFormat="1" applyFont="1" applyBorder="1" applyProtection="1"/>
    <xf numFmtId="4" fontId="5" fillId="2" borderId="4" xfId="0" applyNumberFormat="1" applyFont="1" applyFill="1" applyBorder="1" applyProtection="1"/>
    <xf numFmtId="4" fontId="5" fillId="2" borderId="6" xfId="0" applyNumberFormat="1" applyFont="1" applyFill="1" applyBorder="1" applyProtection="1"/>
    <xf numFmtId="0" fontId="7" fillId="0" borderId="7" xfId="0" applyFont="1" applyBorder="1" applyAlignment="1" applyProtection="1"/>
    <xf numFmtId="4" fontId="7" fillId="0" borderId="8" xfId="0" applyNumberFormat="1" applyFont="1" applyBorder="1" applyProtection="1"/>
    <xf numFmtId="4" fontId="7" fillId="0" borderId="1" xfId="0" applyNumberFormat="1" applyFont="1" applyBorder="1" applyProtection="1"/>
    <xf numFmtId="4" fontId="5" fillId="0" borderId="0" xfId="0" applyNumberFormat="1" applyFont="1" applyBorder="1" applyProtection="1"/>
    <xf numFmtId="3" fontId="0" fillId="0" borderId="0" xfId="0" applyNumberFormat="1"/>
    <xf numFmtId="3" fontId="5" fillId="0" borderId="0" xfId="0" applyNumberFormat="1" applyFont="1" applyBorder="1" applyProtection="1"/>
    <xf numFmtId="0" fontId="9" fillId="0" borderId="0" xfId="0" applyFont="1"/>
    <xf numFmtId="165" fontId="10" fillId="0" borderId="0" xfId="0" applyNumberFormat="1" applyFont="1"/>
    <xf numFmtId="166" fontId="2" fillId="0" borderId="0" xfId="0" applyNumberFormat="1" applyFont="1" applyProtection="1"/>
    <xf numFmtId="0" fontId="11" fillId="0" borderId="9" xfId="0" applyFont="1" applyBorder="1"/>
    <xf numFmtId="0" fontId="11" fillId="0" borderId="0" xfId="0" applyFont="1" applyBorder="1"/>
    <xf numFmtId="1" fontId="2" fillId="0" borderId="0" xfId="1" applyNumberFormat="1" applyFont="1"/>
    <xf numFmtId="166" fontId="10" fillId="0" borderId="0" xfId="0" applyNumberFormat="1" applyFont="1"/>
    <xf numFmtId="0" fontId="5" fillId="0" borderId="0" xfId="0" applyFont="1"/>
  </cellXfs>
  <cellStyles count="2">
    <cellStyle name="Normal" xfId="0" builtinId="0"/>
    <cellStyle name="Normal_35 y 36 Urban sobre Ppo inic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1000" b="1" strike="noStrike" spc="-1">
                <a:solidFill>
                  <a:srgbClr val="000000"/>
                </a:solidFill>
                <a:latin typeface="Bookman Old Style"/>
                <a:ea typeface="Bookman Old Style"/>
              </a:defRPr>
            </a:pPr>
            <a:r>
              <a:rPr lang="es-ES" sz="1000" b="1" strike="noStrike" spc="-1">
                <a:solidFill>
                  <a:srgbClr val="000000"/>
                </a:solidFill>
                <a:latin typeface="Bookman Old Style"/>
                <a:ea typeface="Bookman Old Style"/>
              </a:rPr>
              <a:t>Resultado Presupuestario Ajustado por habitante</a:t>
            </a:r>
          </a:p>
        </c:rich>
      </c:tx>
      <c:layout>
        <c:manualLayout>
          <c:xMode val="edge"/>
          <c:yMode val="edge"/>
          <c:x val="0.24184175234689301"/>
          <c:y val="3.03146584804298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05185516316499E-2"/>
          <c:y val="0.124392427730877"/>
          <c:w val="0.84029950827000399"/>
          <c:h val="0.749936045024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 Rdo aj por hab'!$B$17:$B$26</c:f>
              <c:strCache>
                <c:ptCount val="1"/>
                <c:pt idx="0">
                  <c:v>2011 2012 2013 2014 2015 2016 2017 2018 2019 2020</c:v>
                </c:pt>
              </c:strCache>
            </c:strRef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'19 Rdo aj por hab'!$B$17:$B$26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'19 Rdo aj por hab'!$E$17:$E$26</c:f>
              <c:numCache>
                <c:formatCode>#,##0.00</c:formatCode>
                <c:ptCount val="10"/>
                <c:pt idx="0">
                  <c:v>41.508461525870395</c:v>
                </c:pt>
                <c:pt idx="1">
                  <c:v>123.45226605519684</c:v>
                </c:pt>
                <c:pt idx="2">
                  <c:v>81.714056734048739</c:v>
                </c:pt>
                <c:pt idx="3">
                  <c:v>21.827611227482194</c:v>
                </c:pt>
                <c:pt idx="4">
                  <c:v>64.976161633118835</c:v>
                </c:pt>
                <c:pt idx="5">
                  <c:v>15.000996148518515</c:v>
                </c:pt>
                <c:pt idx="6">
                  <c:v>34.826253849017192</c:v>
                </c:pt>
                <c:pt idx="7">
                  <c:v>19.594415958763587</c:v>
                </c:pt>
                <c:pt idx="8">
                  <c:v>4.4611926636608636</c:v>
                </c:pt>
                <c:pt idx="9">
                  <c:v>11.87100835663967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2352"/>
        <c:axId val="220453888"/>
      </c:barChart>
      <c:catAx>
        <c:axId val="2204523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Bookman Old Style"/>
                <a:ea typeface="Bookman Old Style"/>
              </a:defRPr>
            </a:pPr>
            <a:endParaRPr lang="es-ES"/>
          </a:p>
        </c:txPr>
        <c:crossAx val="220453888"/>
        <c:crosses val="autoZero"/>
        <c:auto val="1"/>
        <c:lblAlgn val="ctr"/>
        <c:lblOffset val="100"/>
        <c:noMultiLvlLbl val="0"/>
      </c:catAx>
      <c:valAx>
        <c:axId val="220453888"/>
        <c:scaling>
          <c:orientation val="minMax"/>
        </c:scaling>
        <c:delete val="0"/>
        <c:axPos val="l"/>
        <c:majorGridlines>
          <c:spPr>
            <a:ln w="12600">
              <a:solidFill>
                <a:srgbClr val="000000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Bookman Old Style"/>
                <a:ea typeface="Bookman Old Style"/>
              </a:defRPr>
            </a:pPr>
            <a:endParaRPr lang="es-ES"/>
          </a:p>
        </c:txPr>
        <c:crossAx val="220452352"/>
        <c:crosses val="autoZero"/>
        <c:crossBetween val="between"/>
      </c:valAx>
      <c:spPr>
        <a:solidFill>
          <a:srgbClr val="FFFFFF"/>
        </a:solidFill>
        <a:ln w="12600">
          <a:solidFill>
            <a:srgbClr val="000000"/>
          </a:solidFill>
          <a:prstDash val="sysDash"/>
          <a:round/>
        </a:ln>
      </c:spPr>
    </c:plotArea>
    <c:plotVisOnly val="0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1000" b="1" strike="noStrike" spc="-1">
                <a:solidFill>
                  <a:srgbClr val="000000"/>
                </a:solidFill>
                <a:latin typeface="Bookman Old Style"/>
                <a:ea typeface="Bookman Old Style"/>
              </a:defRPr>
            </a:pPr>
            <a:r>
              <a:rPr lang="es-ES" sz="1000" b="1" strike="noStrike" spc="-1">
                <a:solidFill>
                  <a:srgbClr val="000000"/>
                </a:solidFill>
                <a:latin typeface="Bookman Old Style"/>
                <a:ea typeface="Bookman Old Style"/>
              </a:rPr>
              <a:t>Deuda viva por Préstamos</a:t>
            </a:r>
          </a:p>
        </c:rich>
      </c:tx>
      <c:layout>
        <c:manualLayout>
          <c:xMode val="edge"/>
          <c:yMode val="edge"/>
          <c:x val="0.35486527826803199"/>
          <c:y val="2.96169457128361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40687139664"/>
          <c:y val="0.115296803652968"/>
          <c:w val="0.79097540887163198"/>
          <c:h val="0.74657534246575297"/>
        </c:manualLayout>
      </c:layout>
      <c:lineChart>
        <c:grouping val="standard"/>
        <c:varyColors val="0"/>
        <c:ser>
          <c:idx val="0"/>
          <c:order val="0"/>
          <c:tx>
            <c:strRef>
              <c:f>'19 Rdo aj por hab'!$A$1:$A$1</c:f>
              <c:strCache>
                <c:ptCount val="1"/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Pt>
            <c:idx val="8"/>
            <c:bubble3D val="0"/>
          </c:dPt>
          <c:dPt>
            <c:idx val="9"/>
            <c:bubble3D val="0"/>
          </c:dPt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'[1]Deuda pdte ptmos'!$B$19:$B$28</c:f>
              <c:numCache>
                <c:formatCode>General</c:formatCode>
                <c:ptCount val="10"/>
              </c:numCache>
            </c:numRef>
          </c:cat>
          <c:val>
            <c:numRef>
              <c:f>'[1]Deuda pdte ptmos'!$C$19:$C$28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1"/>
          <c:order val="1"/>
          <c:tx>
            <c:strRef>
              <c:f>'19 Rdo aj por hab'!$A$1:$A$1</c:f>
              <c:strCache>
                <c:ptCount val="1"/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'[1]Deuda pdte ptmos'!$B$19:$B$28</c:f>
              <c:numCache>
                <c:formatCode>General</c:formatCode>
                <c:ptCount val="10"/>
              </c:numCache>
            </c:numRef>
          </c:cat>
          <c:val>
            <c:numRef>
              <c:f>'[1]Deuda pdte ptmos'!$E$19:$E$28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20953600"/>
        <c:axId val="220971776"/>
      </c:lineChart>
      <c:catAx>
        <c:axId val="2209536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Bookman Old Style"/>
                <a:ea typeface="Bookman Old Style"/>
              </a:defRPr>
            </a:pPr>
            <a:endParaRPr lang="es-ES"/>
          </a:p>
        </c:txPr>
        <c:crossAx val="220971776"/>
        <c:crosses val="autoZero"/>
        <c:auto val="1"/>
        <c:lblAlgn val="ctr"/>
        <c:lblOffset val="100"/>
        <c:noMultiLvlLbl val="0"/>
      </c:catAx>
      <c:valAx>
        <c:axId val="220971776"/>
        <c:scaling>
          <c:orientation val="minMax"/>
        </c:scaling>
        <c:delete val="0"/>
        <c:axPos val="l"/>
        <c:majorGridlines>
          <c:spPr>
            <a:ln w="12600">
              <a:solidFill>
                <a:srgbClr val="000000"/>
              </a:solidFill>
              <a:prstDash val="sysDash"/>
              <a:round/>
            </a:ln>
          </c:spPr>
        </c:majorGridlines>
        <c:numFmt formatCode="#,##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Bookman Old Style"/>
                <a:ea typeface="Bookman Old Style"/>
              </a:defRPr>
            </a:pPr>
            <a:endParaRPr lang="es-ES"/>
          </a:p>
        </c:txPr>
        <c:crossAx val="220953600"/>
        <c:crosses val="autoZero"/>
        <c:crossBetween val="between"/>
      </c:valAx>
      <c:spPr>
        <a:solidFill>
          <a:srgbClr val="FFFFFF"/>
        </a:solidFill>
        <a:ln w="12600">
          <a:solidFill>
            <a:srgbClr val="000000"/>
          </a:solidFill>
          <a:prstDash val="sysDash"/>
          <a:round/>
        </a:ln>
      </c:spPr>
    </c:plotArea>
    <c:legend>
      <c:legendPos val="r"/>
      <c:layout>
        <c:manualLayout>
          <c:xMode val="edge"/>
          <c:yMode val="edge"/>
          <c:x val="6.2706371677708095E-2"/>
          <c:y val="0.95637583892617495"/>
          <c:w val="0.813532664134476"/>
          <c:h val="3.35570469798658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400" b="0" strike="noStrike" spc="-1">
              <a:solidFill>
                <a:srgbClr val="000000"/>
              </a:solidFill>
              <a:latin typeface="Bookman Old Style"/>
              <a:ea typeface="Bookman Old Style"/>
            </a:defRPr>
          </a:pPr>
          <a:endParaRPr lang="es-ES"/>
        </a:p>
      </c:txPr>
    </c:legend>
    <c:plotVisOnly val="0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190440</xdr:colOff>
      <xdr:row>28</xdr:row>
      <xdr:rowOff>19080</xdr:rowOff>
    </xdr:from>
    <xdr:to>
      <xdr:col>5</xdr:col>
      <xdr:colOff>1258920</xdr:colOff>
      <xdr:row>62</xdr:row>
      <xdr:rowOff>142200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190440</xdr:colOff>
      <xdr:row>30</xdr:row>
      <xdr:rowOff>19080</xdr:rowOff>
    </xdr:from>
    <xdr:to>
      <xdr:col>5</xdr:col>
      <xdr:colOff>1258920</xdr:colOff>
      <xdr:row>65</xdr:row>
      <xdr:rowOff>27720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ert/traba-21/liquidacion%202020/graficas-liq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gtos e ing"/>
      <sheetName val="Porcentajes cap 1 y 2"/>
      <sheetName val="Desg cap 1 por art"/>
      <sheetName val="Desg cap 2 por concep"/>
      <sheetName val="Rdo.ajustado"/>
      <sheetName val="Rdo ajustado por hab"/>
      <sheetName val="Pdte.Ppo.corr."/>
      <sheetName val="Pdte.Ppo.cdos."/>
      <sheetName val="Pdte.Ppo."/>
      <sheetName val="Pdte.C.N.P."/>
      <sheetName val="Fondos liqu y pdtes aplic"/>
      <sheetName val="Mag.Rmte.Tesoreria"/>
      <sheetName val="Rmte.Tesoreria"/>
      <sheetName val="Rmte Tesoreria G.G."/>
      <sheetName val="Deuda pdte ptmos"/>
      <sheetName val="Deuda pdte ptmo hab"/>
      <sheetName val="Deuda viva sobre ing corr"/>
      <sheetName val="OPAS"/>
    </sheetNames>
    <sheetDataSet>
      <sheetData sheetId="0"/>
      <sheetData sheetId="1"/>
      <sheetData sheetId="2"/>
      <sheetData sheetId="3"/>
      <sheetData sheetId="4">
        <row r="14">
          <cell r="D14">
            <v>1146626.82</v>
          </cell>
        </row>
        <row r="15">
          <cell r="D15">
            <v>254482.93999999799</v>
          </cell>
        </row>
        <row r="16">
          <cell r="D16">
            <v>1464653.56</v>
          </cell>
        </row>
        <row r="17">
          <cell r="D17">
            <v>482266.91000000399</v>
          </cell>
        </row>
        <row r="18">
          <cell r="D18">
            <v>1132573.02999999</v>
          </cell>
        </row>
        <row r="19">
          <cell r="D19">
            <v>1323032.6499999999</v>
          </cell>
        </row>
        <row r="20">
          <cell r="D20">
            <v>1039383.18</v>
          </cell>
        </row>
        <row r="21">
          <cell r="D21">
            <v>994708.20000000298</v>
          </cell>
        </row>
        <row r="22">
          <cell r="D22">
            <v>114874.79999999701</v>
          </cell>
        </row>
        <row r="23">
          <cell r="D23">
            <v>-218090.73999999501</v>
          </cell>
        </row>
        <row r="24">
          <cell r="D24">
            <v>-1542115.84</v>
          </cell>
        </row>
        <row r="25">
          <cell r="D25">
            <v>2535876.44</v>
          </cell>
        </row>
        <row r="26">
          <cell r="D26">
            <v>7510465.51000001</v>
          </cell>
        </row>
        <row r="27">
          <cell r="D27">
            <v>4911423.38</v>
          </cell>
        </row>
        <row r="28">
          <cell r="D28">
            <v>1302562.7</v>
          </cell>
        </row>
        <row r="29">
          <cell r="D29">
            <v>3870435.0199999898</v>
          </cell>
        </row>
        <row r="30">
          <cell r="D30">
            <v>888028.96999999904</v>
          </cell>
        </row>
        <row r="31">
          <cell r="D31">
            <v>2058440.5600000101</v>
          </cell>
        </row>
        <row r="32">
          <cell r="D32">
            <v>1155619.8700000001</v>
          </cell>
        </row>
        <row r="33">
          <cell r="D33">
            <v>263183.600000009</v>
          </cell>
        </row>
        <row r="34">
          <cell r="D34">
            <v>704591.82999999099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6"/>
  <sheetViews>
    <sheetView zoomScaleNormal="100" workbookViewId="0">
      <selection activeCell="I27" sqref="I27"/>
    </sheetView>
  </sheetViews>
  <sheetFormatPr baseColWidth="10" defaultColWidth="12.5703125" defaultRowHeight="15" x14ac:dyDescent="0.25"/>
  <cols>
    <col min="1" max="1" width="19.5703125" style="2" customWidth="1"/>
    <col min="2" max="2" width="10.5703125" style="2" customWidth="1"/>
    <col min="3" max="3" width="15.7109375" style="2" customWidth="1"/>
    <col min="4" max="4" width="13.28515625" style="2" customWidth="1"/>
    <col min="5" max="5" width="17" style="2" customWidth="1"/>
    <col min="6" max="6" width="17.85546875" style="2" customWidth="1"/>
    <col min="7" max="7" width="1.28515625" style="2" customWidth="1"/>
    <col min="8" max="256" width="12.5703125" style="2"/>
    <col min="257" max="257" width="19.5703125" style="2" customWidth="1"/>
    <col min="258" max="258" width="10.5703125" style="2" customWidth="1"/>
    <col min="259" max="259" width="15.7109375" style="2" customWidth="1"/>
    <col min="260" max="260" width="13.28515625" style="2" customWidth="1"/>
    <col min="261" max="261" width="17" style="2" customWidth="1"/>
    <col min="262" max="262" width="17.85546875" style="2" customWidth="1"/>
    <col min="263" max="263" width="1.28515625" style="2" customWidth="1"/>
    <col min="264" max="512" width="12.5703125" style="2"/>
    <col min="513" max="513" width="19.5703125" style="2" customWidth="1"/>
    <col min="514" max="514" width="10.5703125" style="2" customWidth="1"/>
    <col min="515" max="515" width="15.7109375" style="2" customWidth="1"/>
    <col min="516" max="516" width="13.28515625" style="2" customWidth="1"/>
    <col min="517" max="517" width="17" style="2" customWidth="1"/>
    <col min="518" max="518" width="17.85546875" style="2" customWidth="1"/>
    <col min="519" max="519" width="1.28515625" style="2" customWidth="1"/>
    <col min="520" max="768" width="12.5703125" style="2"/>
    <col min="769" max="769" width="19.5703125" style="2" customWidth="1"/>
    <col min="770" max="770" width="10.5703125" style="2" customWidth="1"/>
    <col min="771" max="771" width="15.7109375" style="2" customWidth="1"/>
    <col min="772" max="772" width="13.28515625" style="2" customWidth="1"/>
    <col min="773" max="773" width="17" style="2" customWidth="1"/>
    <col min="774" max="774" width="17.85546875" style="2" customWidth="1"/>
    <col min="775" max="775" width="1.28515625" style="2" customWidth="1"/>
    <col min="776" max="1024" width="12.5703125" style="2"/>
  </cols>
  <sheetData>
    <row r="2" spans="1:11" s="4" customFormat="1" ht="15.75" customHeight="1" x14ac:dyDescent="0.25">
      <c r="A2" s="1" t="s">
        <v>0</v>
      </c>
      <c r="B2" s="1"/>
      <c r="C2" s="1"/>
      <c r="D2" s="1"/>
      <c r="E2" s="1"/>
      <c r="F2" s="1"/>
      <c r="G2" s="3"/>
      <c r="H2" s="3"/>
    </row>
    <row r="4" spans="1:11" ht="47.25" customHeight="1" x14ac:dyDescent="0.25">
      <c r="B4" s="5" t="s">
        <v>1</v>
      </c>
      <c r="C4" s="6" t="s">
        <v>2</v>
      </c>
      <c r="D4" s="6" t="s">
        <v>3</v>
      </c>
      <c r="E4" s="6" t="s">
        <v>4</v>
      </c>
      <c r="F4" s="7"/>
    </row>
    <row r="5" spans="1:11" x14ac:dyDescent="0.25">
      <c r="B5" s="8"/>
      <c r="C5" s="8"/>
      <c r="D5" s="8"/>
      <c r="E5" s="8"/>
    </row>
    <row r="6" spans="1:11" hidden="1" x14ac:dyDescent="0.25">
      <c r="B6" s="9">
        <v>2000</v>
      </c>
      <c r="C6" s="10">
        <f>+[1]Rdo.ajustado!D14</f>
        <v>1146626.82</v>
      </c>
      <c r="D6" s="11">
        <v>60423</v>
      </c>
      <c r="E6" s="10">
        <f t="shared" ref="E6:E26" si="0">C6/D6</f>
        <v>18.976661536170003</v>
      </c>
      <c r="F6" s="12"/>
      <c r="G6" s="13"/>
      <c r="I6" s="14"/>
      <c r="J6" s="14"/>
      <c r="K6" s="14"/>
    </row>
    <row r="7" spans="1:11" hidden="1" x14ac:dyDescent="0.25">
      <c r="B7" s="9">
        <v>2001</v>
      </c>
      <c r="C7" s="10">
        <f>+[1]Rdo.ajustado!D15</f>
        <v>254482.93999999799</v>
      </c>
      <c r="D7" s="11">
        <v>60288</v>
      </c>
      <c r="E7" s="10">
        <f t="shared" si="0"/>
        <v>4.2211209527600513</v>
      </c>
      <c r="F7" s="12"/>
      <c r="G7" s="13"/>
      <c r="I7" s="14"/>
      <c r="J7" s="14"/>
      <c r="K7" s="14"/>
    </row>
    <row r="8" spans="1:11" hidden="1" x14ac:dyDescent="0.25">
      <c r="B8" s="9">
        <v>2002</v>
      </c>
      <c r="C8" s="10">
        <f>+[1]Rdo.ajustado!D16</f>
        <v>1464653.56</v>
      </c>
      <c r="D8" s="11">
        <v>60465</v>
      </c>
      <c r="E8" s="10">
        <f t="shared" si="0"/>
        <v>24.223163152236832</v>
      </c>
      <c r="F8" s="12"/>
      <c r="G8" s="13"/>
      <c r="I8" s="14"/>
      <c r="J8" s="14"/>
      <c r="K8" s="14"/>
    </row>
    <row r="9" spans="1:11" hidden="1" x14ac:dyDescent="0.25">
      <c r="B9" s="9">
        <v>2003</v>
      </c>
      <c r="C9" s="10">
        <f>+[1]Rdo.ajustado!D17</f>
        <v>482266.91000000399</v>
      </c>
      <c r="D9" s="11">
        <v>60036</v>
      </c>
      <c r="E9" s="10">
        <f t="shared" si="0"/>
        <v>8.0329620560997395</v>
      </c>
      <c r="F9" s="12"/>
      <c r="G9" s="13"/>
      <c r="I9" s="14"/>
      <c r="J9" s="14"/>
      <c r="K9" s="14"/>
    </row>
    <row r="10" spans="1:11" hidden="1" x14ac:dyDescent="0.25">
      <c r="B10" s="9">
        <v>2004</v>
      </c>
      <c r="C10" s="10">
        <f>+[1]Rdo.ajustado!D18</f>
        <v>1132573.02999999</v>
      </c>
      <c r="D10" s="11">
        <v>60532</v>
      </c>
      <c r="E10" s="10">
        <f t="shared" si="0"/>
        <v>18.710319004823731</v>
      </c>
      <c r="F10" s="12"/>
      <c r="G10" s="13"/>
      <c r="I10" s="14"/>
      <c r="J10" s="14"/>
      <c r="K10" s="14"/>
    </row>
    <row r="11" spans="1:11" hidden="1" x14ac:dyDescent="0.25">
      <c r="B11" s="9">
        <v>2005</v>
      </c>
      <c r="C11" s="10">
        <f>+[1]Rdo.ajustado!D19</f>
        <v>1323032.6499999999</v>
      </c>
      <c r="D11" s="11">
        <v>60931</v>
      </c>
      <c r="E11" s="10">
        <f t="shared" si="0"/>
        <v>21.713621145229848</v>
      </c>
      <c r="F11" s="12"/>
      <c r="G11" s="13"/>
      <c r="I11" s="14"/>
      <c r="J11" s="14"/>
      <c r="K11" s="14"/>
    </row>
    <row r="12" spans="1:11" hidden="1" x14ac:dyDescent="0.25">
      <c r="B12" s="9">
        <v>2006</v>
      </c>
      <c r="C12" s="10">
        <f>+[1]Rdo.ajustado!D20</f>
        <v>1039383.18</v>
      </c>
      <c r="D12" s="11">
        <v>60590</v>
      </c>
      <c r="E12" s="10">
        <f t="shared" si="0"/>
        <v>17.15436837762007</v>
      </c>
      <c r="F12" s="12"/>
      <c r="G12" s="13"/>
      <c r="I12" s="14"/>
      <c r="J12" s="14"/>
      <c r="K12" s="14"/>
    </row>
    <row r="13" spans="1:11" hidden="1" x14ac:dyDescent="0.25">
      <c r="B13" s="9">
        <v>2007</v>
      </c>
      <c r="C13" s="10">
        <f>+[1]Rdo.ajustado!D21</f>
        <v>994708.20000000298</v>
      </c>
      <c r="D13" s="11">
        <v>60700</v>
      </c>
      <c r="E13" s="10">
        <f t="shared" si="0"/>
        <v>16.387285008237281</v>
      </c>
      <c r="F13" s="12"/>
      <c r="G13" s="13"/>
      <c r="I13" s="14"/>
      <c r="J13" s="14"/>
      <c r="K13" s="14"/>
    </row>
    <row r="14" spans="1:11" hidden="1" x14ac:dyDescent="0.25">
      <c r="B14" s="9">
        <v>2008</v>
      </c>
      <c r="C14" s="10">
        <f>+[1]Rdo.ajustado!D22</f>
        <v>114874.79999999701</v>
      </c>
      <c r="D14" s="11">
        <v>61698</v>
      </c>
      <c r="E14" s="10">
        <f t="shared" si="0"/>
        <v>1.8618885539239036</v>
      </c>
      <c r="F14" s="12"/>
      <c r="G14" s="13"/>
      <c r="I14" s="14"/>
      <c r="J14" s="14"/>
      <c r="K14" s="14"/>
    </row>
    <row r="15" spans="1:11" hidden="1" x14ac:dyDescent="0.25">
      <c r="B15" s="9">
        <v>2009</v>
      </c>
      <c r="C15" s="10">
        <f>+[1]Rdo.ajustado!D23</f>
        <v>-218090.73999999501</v>
      </c>
      <c r="D15" s="11">
        <v>61552</v>
      </c>
      <c r="E15" s="10">
        <f t="shared" si="0"/>
        <v>-3.5431950220950581</v>
      </c>
      <c r="F15" s="12"/>
      <c r="G15" s="13"/>
      <c r="I15" s="14"/>
      <c r="J15" s="14"/>
      <c r="K15" s="14"/>
    </row>
    <row r="16" spans="1:11" hidden="1" x14ac:dyDescent="0.25">
      <c r="B16" s="9">
        <v>2010</v>
      </c>
      <c r="C16" s="10">
        <f>+[1]Rdo.ajustado!D24</f>
        <v>-1542115.84</v>
      </c>
      <c r="D16" s="11">
        <v>61417</v>
      </c>
      <c r="E16" s="10">
        <f t="shared" si="0"/>
        <v>-25.108941172639497</v>
      </c>
      <c r="F16" s="12"/>
      <c r="G16" s="13"/>
      <c r="I16" s="14"/>
      <c r="J16" s="14"/>
      <c r="K16" s="14"/>
    </row>
    <row r="17" spans="2:11" x14ac:dyDescent="0.25">
      <c r="B17" s="9">
        <v>2011</v>
      </c>
      <c r="C17" s="10">
        <f>+[1]Rdo.ajustado!D25</f>
        <v>2535876.44</v>
      </c>
      <c r="D17" s="11">
        <v>61093</v>
      </c>
      <c r="E17" s="10">
        <f t="shared" si="0"/>
        <v>41.508461525870395</v>
      </c>
      <c r="F17" s="12"/>
      <c r="G17" s="13"/>
      <c r="I17" s="14"/>
      <c r="J17" s="14"/>
      <c r="K17" s="14"/>
    </row>
    <row r="18" spans="2:11" x14ac:dyDescent="0.25">
      <c r="B18" s="9">
        <v>2012</v>
      </c>
      <c r="C18" s="10">
        <f>+[1]Rdo.ajustado!D26</f>
        <v>7510465.51000001</v>
      </c>
      <c r="D18" s="11">
        <v>60837</v>
      </c>
      <c r="E18" s="10">
        <f t="shared" si="0"/>
        <v>123.45226605519684</v>
      </c>
      <c r="F18" s="12"/>
      <c r="G18" s="13"/>
      <c r="I18" s="14"/>
      <c r="J18" s="14"/>
      <c r="K18" s="14"/>
    </row>
    <row r="19" spans="2:11" x14ac:dyDescent="0.25">
      <c r="B19" s="9">
        <v>2013</v>
      </c>
      <c r="C19" s="10">
        <f>+[1]Rdo.ajustado!D27</f>
        <v>4911423.38</v>
      </c>
      <c r="D19" s="11">
        <v>60105</v>
      </c>
      <c r="E19" s="10">
        <f t="shared" si="0"/>
        <v>81.714056734048739</v>
      </c>
      <c r="F19" s="12"/>
      <c r="G19" s="13"/>
      <c r="I19" s="14"/>
      <c r="J19" s="14"/>
      <c r="K19" s="14"/>
    </row>
    <row r="20" spans="2:11" x14ac:dyDescent="0.25">
      <c r="B20" s="9">
        <v>2014</v>
      </c>
      <c r="C20" s="10">
        <f>+[1]Rdo.ajustado!D28</f>
        <v>1302562.7</v>
      </c>
      <c r="D20" s="11">
        <v>59675</v>
      </c>
      <c r="E20" s="10">
        <f t="shared" si="0"/>
        <v>21.827611227482194</v>
      </c>
      <c r="F20" s="12"/>
      <c r="G20" s="13"/>
      <c r="I20" s="14"/>
      <c r="J20" s="14"/>
      <c r="K20" s="14"/>
    </row>
    <row r="21" spans="2:11" x14ac:dyDescent="0.25">
      <c r="B21" s="9">
        <v>2015</v>
      </c>
      <c r="C21" s="10">
        <f>+[1]Rdo.ajustado!D29</f>
        <v>3870435.0199999898</v>
      </c>
      <c r="D21" s="11">
        <v>59567</v>
      </c>
      <c r="E21" s="10">
        <f t="shared" si="0"/>
        <v>64.976161633118835</v>
      </c>
      <c r="F21" s="12"/>
      <c r="G21" s="13"/>
      <c r="I21" s="14"/>
      <c r="J21" s="14"/>
      <c r="K21" s="14"/>
    </row>
    <row r="22" spans="2:11" x14ac:dyDescent="0.25">
      <c r="B22" s="9">
        <v>2016</v>
      </c>
      <c r="C22" s="10">
        <f>+[1]Rdo.ajustado!D30</f>
        <v>888028.96999999904</v>
      </c>
      <c r="D22" s="11">
        <v>59198</v>
      </c>
      <c r="E22" s="10">
        <f t="shared" si="0"/>
        <v>15.000996148518515</v>
      </c>
      <c r="F22" s="12"/>
      <c r="G22" s="13"/>
      <c r="I22" s="14"/>
      <c r="J22" s="14"/>
      <c r="K22" s="14"/>
    </row>
    <row r="23" spans="2:11" x14ac:dyDescent="0.25">
      <c r="B23" s="9">
        <v>2017</v>
      </c>
      <c r="C23" s="10">
        <f>+[1]Rdo.ajustado!D31</f>
        <v>2058440.5600000101</v>
      </c>
      <c r="D23" s="11">
        <v>59106</v>
      </c>
      <c r="E23" s="10">
        <f t="shared" si="0"/>
        <v>34.826253849017192</v>
      </c>
      <c r="F23" s="12"/>
      <c r="G23" s="13"/>
      <c r="I23" s="14"/>
      <c r="J23" s="14"/>
      <c r="K23" s="14"/>
    </row>
    <row r="24" spans="2:11" x14ac:dyDescent="0.25">
      <c r="B24" s="9">
        <v>2018</v>
      </c>
      <c r="C24" s="10">
        <f>+[1]Rdo.ajustado!D32</f>
        <v>1155619.8700000001</v>
      </c>
      <c r="D24" s="11">
        <v>58977</v>
      </c>
      <c r="E24" s="10">
        <f t="shared" si="0"/>
        <v>19.594415958763587</v>
      </c>
      <c r="F24" s="12"/>
      <c r="G24" s="13"/>
      <c r="I24" s="14"/>
      <c r="J24" s="14"/>
      <c r="K24" s="14"/>
    </row>
    <row r="25" spans="2:11" x14ac:dyDescent="0.25">
      <c r="B25" s="9">
        <v>2019</v>
      </c>
      <c r="C25" s="10">
        <f>+[1]Rdo.ajustado!D33</f>
        <v>263183.600000009</v>
      </c>
      <c r="D25" s="11">
        <v>58994</v>
      </c>
      <c r="E25" s="10">
        <f t="shared" si="0"/>
        <v>4.4611926636608636</v>
      </c>
      <c r="F25" s="12"/>
      <c r="G25" s="13"/>
      <c r="I25" s="14"/>
      <c r="J25" s="14"/>
      <c r="K25" s="14"/>
    </row>
    <row r="26" spans="2:11" x14ac:dyDescent="0.25">
      <c r="B26" s="9">
        <v>2020</v>
      </c>
      <c r="C26" s="10">
        <f>+[1]Rdo.ajustado!D34</f>
        <v>704591.82999999099</v>
      </c>
      <c r="D26" s="11">
        <v>59354</v>
      </c>
      <c r="E26" s="10">
        <f t="shared" si="0"/>
        <v>11.87100835663967</v>
      </c>
      <c r="F26" s="12"/>
      <c r="G26" s="13"/>
      <c r="I26" s="14"/>
      <c r="J26" s="14"/>
      <c r="K26" s="14"/>
    </row>
  </sheetData>
  <mergeCells count="1">
    <mergeCell ref="A2:F2"/>
  </mergeCells>
  <pageMargins left="0.32013888888888897" right="0.27013888888888898" top="0.74791666666666701" bottom="0.74791666666666701" header="0.51180555555555496" footer="0.51180555555555496"/>
  <pageSetup paperSize="9" scale="95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0.42578125" defaultRowHeight="15" x14ac:dyDescent="0.25"/>
  <cols>
    <col min="1" max="1" width="4" customWidth="1"/>
    <col min="2" max="2" width="27.7109375" customWidth="1"/>
    <col min="3" max="10" width="14.7109375" hidden="1" customWidth="1"/>
    <col min="11" max="20" width="14.7109375" customWidth="1"/>
    <col min="21" max="21" width="1.85546875" customWidth="1"/>
    <col min="237" max="237" width="4" customWidth="1"/>
    <col min="238" max="238" width="27.7109375" customWidth="1"/>
    <col min="239" max="239" width="15.42578125" customWidth="1"/>
    <col min="240" max="240" width="13.7109375" customWidth="1"/>
    <col min="249" max="249" width="18" customWidth="1"/>
    <col min="257" max="257" width="7.5703125" customWidth="1"/>
    <col min="259" max="259" width="18" customWidth="1"/>
    <col min="493" max="493" width="4" customWidth="1"/>
    <col min="494" max="494" width="27.7109375" customWidth="1"/>
    <col min="495" max="495" width="15.42578125" customWidth="1"/>
    <col min="496" max="496" width="13.7109375" customWidth="1"/>
    <col min="505" max="505" width="18" customWidth="1"/>
    <col min="513" max="513" width="7.5703125" customWidth="1"/>
    <col min="515" max="515" width="18" customWidth="1"/>
    <col min="749" max="749" width="4" customWidth="1"/>
    <col min="750" max="750" width="27.7109375" customWidth="1"/>
    <col min="751" max="751" width="15.42578125" customWidth="1"/>
    <col min="752" max="752" width="13.7109375" customWidth="1"/>
    <col min="761" max="761" width="18" customWidth="1"/>
    <col min="769" max="769" width="7.5703125" customWidth="1"/>
    <col min="771" max="771" width="18" customWidth="1"/>
    <col min="1005" max="1005" width="4" customWidth="1"/>
    <col min="1006" max="1006" width="27.7109375" customWidth="1"/>
    <col min="1007" max="1007" width="15.42578125" customWidth="1"/>
    <col min="1008" max="1008" width="13.7109375" customWidth="1"/>
    <col min="1017" max="1017" width="18" customWidth="1"/>
  </cols>
  <sheetData>
    <row r="1" spans="1:20" x14ac:dyDescent="0.25">
      <c r="B1" s="15" t="s">
        <v>5</v>
      </c>
      <c r="C1" s="16"/>
      <c r="D1" s="16"/>
      <c r="E1" s="1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3" spans="1:20" x14ac:dyDescent="0.25">
      <c r="A3" s="17"/>
      <c r="B3" s="2"/>
      <c r="C3" s="18">
        <v>2003</v>
      </c>
      <c r="D3" s="18">
        <v>2004</v>
      </c>
      <c r="E3" s="18">
        <v>2005</v>
      </c>
      <c r="F3" s="18">
        <v>2006</v>
      </c>
      <c r="G3" s="18">
        <v>2007</v>
      </c>
      <c r="H3" s="19">
        <v>2008</v>
      </c>
      <c r="I3" s="19">
        <v>2009</v>
      </c>
      <c r="J3" s="19">
        <v>2010</v>
      </c>
      <c r="K3" s="19">
        <v>2011</v>
      </c>
      <c r="L3" s="19">
        <v>2012</v>
      </c>
      <c r="M3" s="19">
        <v>2013</v>
      </c>
      <c r="N3" s="19">
        <v>2014</v>
      </c>
      <c r="O3" s="19">
        <v>2015</v>
      </c>
      <c r="P3" s="19">
        <v>2016</v>
      </c>
      <c r="Q3" s="19">
        <v>2017</v>
      </c>
      <c r="R3" s="19">
        <v>2018</v>
      </c>
      <c r="S3" s="19">
        <v>2019</v>
      </c>
      <c r="T3" s="19">
        <v>2020</v>
      </c>
    </row>
    <row r="4" spans="1:20" x14ac:dyDescent="0.25">
      <c r="A4" s="20" t="s">
        <v>6</v>
      </c>
      <c r="B4" s="21" t="s">
        <v>7</v>
      </c>
      <c r="C4" s="22">
        <v>14591674.289999999</v>
      </c>
      <c r="D4" s="22">
        <v>15126479.26</v>
      </c>
      <c r="E4" s="22">
        <v>15829351.1</v>
      </c>
      <c r="F4" s="22">
        <v>17064651.670000002</v>
      </c>
      <c r="G4" s="22">
        <v>17958109.98</v>
      </c>
      <c r="H4" s="23">
        <v>19738027.609999999</v>
      </c>
      <c r="I4" s="23">
        <v>20408385.100000001</v>
      </c>
      <c r="J4" s="23">
        <v>19679549.350000001</v>
      </c>
      <c r="K4" s="23">
        <v>19173962.899999999</v>
      </c>
      <c r="L4" s="23">
        <v>17867774.530000001</v>
      </c>
      <c r="M4" s="23">
        <v>18392343.989999998</v>
      </c>
      <c r="N4" s="23">
        <v>18986596.800000001</v>
      </c>
      <c r="O4" s="23">
        <v>19551648.239999998</v>
      </c>
      <c r="P4" s="23">
        <v>19738679.850000001</v>
      </c>
      <c r="Q4" s="23">
        <v>21172020.379999999</v>
      </c>
      <c r="R4" s="23">
        <v>22817963.41</v>
      </c>
      <c r="S4" s="23">
        <v>24241486.109999999</v>
      </c>
      <c r="T4" s="23">
        <v>24116774.210000001</v>
      </c>
    </row>
    <row r="5" spans="1:20" x14ac:dyDescent="0.25">
      <c r="A5" s="24" t="s">
        <v>8</v>
      </c>
      <c r="B5" s="25" t="s">
        <v>9</v>
      </c>
      <c r="C5" s="26">
        <v>13559844.039999999</v>
      </c>
      <c r="D5" s="26">
        <v>15417041.4</v>
      </c>
      <c r="E5" s="26">
        <v>15649201.880000001</v>
      </c>
      <c r="F5" s="26">
        <v>18665772.68</v>
      </c>
      <c r="G5" s="26">
        <v>16385443.77</v>
      </c>
      <c r="H5" s="27">
        <v>16488453.9</v>
      </c>
      <c r="I5" s="27">
        <v>16538629.859999999</v>
      </c>
      <c r="J5" s="27">
        <v>15117895.220000001</v>
      </c>
      <c r="K5" s="27">
        <v>13584346.43</v>
      </c>
      <c r="L5" s="27">
        <v>13495720.390000001</v>
      </c>
      <c r="M5" s="27">
        <v>14316519.890000001</v>
      </c>
      <c r="N5" s="27">
        <v>14242455.300000001</v>
      </c>
      <c r="O5" s="27">
        <v>15572732.060000001</v>
      </c>
      <c r="P5" s="27">
        <v>16029377.060000001</v>
      </c>
      <c r="Q5" s="27">
        <v>16325057.15</v>
      </c>
      <c r="R5" s="27">
        <v>16466242.77</v>
      </c>
      <c r="S5" s="27">
        <v>18822342.789999999</v>
      </c>
      <c r="T5" s="27">
        <v>18225259.68</v>
      </c>
    </row>
    <row r="6" spans="1:20" x14ac:dyDescent="0.25">
      <c r="A6" s="24" t="s">
        <v>10</v>
      </c>
      <c r="B6" s="25" t="s">
        <v>11</v>
      </c>
      <c r="C6" s="26">
        <v>1019917.01</v>
      </c>
      <c r="D6" s="26">
        <v>888464.09</v>
      </c>
      <c r="E6" s="26">
        <v>895684.68</v>
      </c>
      <c r="F6" s="26">
        <v>1082804.8</v>
      </c>
      <c r="G6" s="26">
        <v>1466950.94</v>
      </c>
      <c r="H6" s="27">
        <v>1886216.63</v>
      </c>
      <c r="I6" s="27">
        <v>1252268.3500000001</v>
      </c>
      <c r="J6" s="27">
        <v>942768.87</v>
      </c>
      <c r="K6" s="27">
        <v>1022453.33</v>
      </c>
      <c r="L6" s="27">
        <v>1295976.53</v>
      </c>
      <c r="M6" s="27">
        <v>1073070.49</v>
      </c>
      <c r="N6" s="27">
        <v>893891.03</v>
      </c>
      <c r="O6" s="27">
        <v>436958.48</v>
      </c>
      <c r="P6" s="27">
        <v>290986.34000000003</v>
      </c>
      <c r="Q6" s="27">
        <v>222194</v>
      </c>
      <c r="R6" s="27">
        <v>199376.16</v>
      </c>
      <c r="S6" s="27">
        <v>260004.9</v>
      </c>
      <c r="T6" s="27">
        <v>495400.34</v>
      </c>
    </row>
    <row r="7" spans="1:20" x14ac:dyDescent="0.25">
      <c r="A7" s="24" t="s">
        <v>12</v>
      </c>
      <c r="B7" s="25" t="s">
        <v>13</v>
      </c>
      <c r="C7" s="26">
        <v>2761240.09</v>
      </c>
      <c r="D7" s="26">
        <v>2660374.21</v>
      </c>
      <c r="E7" s="26">
        <v>2613766.2799999998</v>
      </c>
      <c r="F7" s="26">
        <v>3240274.17</v>
      </c>
      <c r="G7" s="26">
        <v>3545907.12</v>
      </c>
      <c r="H7" s="27">
        <v>3053722.83</v>
      </c>
      <c r="I7" s="27">
        <v>3027241.54</v>
      </c>
      <c r="J7" s="27">
        <v>2957361.74</v>
      </c>
      <c r="K7" s="27">
        <v>2691907.56</v>
      </c>
      <c r="L7" s="27">
        <v>4350055.7300000004</v>
      </c>
      <c r="M7" s="27">
        <v>3894077.66</v>
      </c>
      <c r="N7" s="27">
        <v>4580283.6900000004</v>
      </c>
      <c r="O7" s="27">
        <v>4737423.8899999997</v>
      </c>
      <c r="P7" s="27">
        <v>4916284.8600000003</v>
      </c>
      <c r="Q7" s="27">
        <v>5608207.54</v>
      </c>
      <c r="R7" s="27">
        <v>5308479.8899999997</v>
      </c>
      <c r="S7" s="27">
        <v>5048103.2300000004</v>
      </c>
      <c r="T7" s="27">
        <v>6625267.5800000001</v>
      </c>
    </row>
    <row r="8" spans="1:20" x14ac:dyDescent="0.25">
      <c r="A8" s="24" t="s">
        <v>14</v>
      </c>
      <c r="B8" s="25" t="s">
        <v>15</v>
      </c>
      <c r="C8" s="26">
        <v>7843229.6100000003</v>
      </c>
      <c r="D8" s="26">
        <v>4699436.4400000004</v>
      </c>
      <c r="E8" s="26">
        <v>7662463.1299999999</v>
      </c>
      <c r="F8" s="26">
        <v>9904280.5299999993</v>
      </c>
      <c r="G8" s="26">
        <v>13428128.25</v>
      </c>
      <c r="H8" s="27">
        <v>4157179.84</v>
      </c>
      <c r="I8" s="27">
        <v>14605500.300000001</v>
      </c>
      <c r="J8" s="27">
        <v>9491881.0700000003</v>
      </c>
      <c r="K8" s="27">
        <v>4262307.91</v>
      </c>
      <c r="L8" s="27">
        <v>1585219.85</v>
      </c>
      <c r="M8" s="27">
        <v>1219347.7</v>
      </c>
      <c r="N8" s="27">
        <v>4580604.3</v>
      </c>
      <c r="O8" s="27">
        <v>1875301.36</v>
      </c>
      <c r="P8" s="27">
        <v>1844633.06</v>
      </c>
      <c r="Q8" s="27">
        <v>5349776.7300000004</v>
      </c>
      <c r="R8" s="27">
        <v>5875085.7300000004</v>
      </c>
      <c r="S8" s="27">
        <v>7840582.21</v>
      </c>
      <c r="T8" s="27">
        <v>5353233.41</v>
      </c>
    </row>
    <row r="9" spans="1:20" x14ac:dyDescent="0.25">
      <c r="A9" s="24" t="s">
        <v>16</v>
      </c>
      <c r="B9" s="25" t="s">
        <v>17</v>
      </c>
      <c r="C9" s="26">
        <v>312405.84999999998</v>
      </c>
      <c r="D9" s="26">
        <v>81128.94</v>
      </c>
      <c r="E9" s="26">
        <v>77827.679999999993</v>
      </c>
      <c r="F9" s="26">
        <v>309886.63</v>
      </c>
      <c r="G9" s="26">
        <v>370282.91</v>
      </c>
      <c r="H9" s="27">
        <v>438004.53</v>
      </c>
      <c r="I9" s="27">
        <v>269534.46000000002</v>
      </c>
      <c r="J9" s="27">
        <v>319428.36</v>
      </c>
      <c r="K9" s="27">
        <v>2856.63</v>
      </c>
      <c r="L9" s="27">
        <v>29344.01</v>
      </c>
      <c r="M9" s="27">
        <v>468688.19</v>
      </c>
      <c r="N9" s="27">
        <v>386604.16</v>
      </c>
      <c r="O9" s="27">
        <v>209625.23</v>
      </c>
      <c r="P9" s="27">
        <v>222403.65</v>
      </c>
      <c r="Q9" s="27">
        <v>333783.39</v>
      </c>
      <c r="R9" s="27">
        <v>1022186.89</v>
      </c>
      <c r="S9" s="27">
        <v>692686.08</v>
      </c>
      <c r="T9" s="27">
        <v>215477.23</v>
      </c>
    </row>
    <row r="10" spans="1:20" x14ac:dyDescent="0.25">
      <c r="A10" s="24" t="s">
        <v>18</v>
      </c>
      <c r="B10" s="25" t="s">
        <v>19</v>
      </c>
      <c r="C10" s="26">
        <v>97650.08</v>
      </c>
      <c r="D10" s="26">
        <v>101513</v>
      </c>
      <c r="E10" s="26">
        <v>98868</v>
      </c>
      <c r="F10" s="26">
        <v>89992</v>
      </c>
      <c r="G10" s="26">
        <v>86050</v>
      </c>
      <c r="H10" s="27">
        <v>83210</v>
      </c>
      <c r="I10" s="27">
        <v>63800</v>
      </c>
      <c r="J10" s="27">
        <v>64616</v>
      </c>
      <c r="K10" s="27">
        <v>43462</v>
      </c>
      <c r="L10" s="27">
        <v>63204</v>
      </c>
      <c r="M10" s="27">
        <v>49748</v>
      </c>
      <c r="N10" s="27">
        <v>47887.42</v>
      </c>
      <c r="O10" s="27">
        <v>39181.519999999997</v>
      </c>
      <c r="P10" s="27">
        <v>48829.14</v>
      </c>
      <c r="Q10" s="27">
        <v>47690.559999999998</v>
      </c>
      <c r="R10" s="27">
        <v>46470.21</v>
      </c>
      <c r="S10" s="27">
        <v>39717</v>
      </c>
      <c r="T10" s="27">
        <v>35989.550000000003</v>
      </c>
    </row>
    <row r="11" spans="1:20" x14ac:dyDescent="0.25">
      <c r="A11" s="24" t="s">
        <v>20</v>
      </c>
      <c r="B11" s="25" t="s">
        <v>21</v>
      </c>
      <c r="C11" s="26">
        <v>1637559.77</v>
      </c>
      <c r="D11" s="26">
        <v>1758391.26</v>
      </c>
      <c r="E11" s="26">
        <v>2038017.22</v>
      </c>
      <c r="F11" s="26">
        <v>2099223.37</v>
      </c>
      <c r="G11" s="26">
        <v>2375705.42</v>
      </c>
      <c r="H11" s="27">
        <v>2799193.6</v>
      </c>
      <c r="I11" s="27">
        <v>2914322.05</v>
      </c>
      <c r="J11" s="27">
        <v>3853245.1</v>
      </c>
      <c r="K11" s="27">
        <v>4326353.0199999996</v>
      </c>
      <c r="L11" s="27">
        <v>7892732.0800000001</v>
      </c>
      <c r="M11" s="27">
        <v>4915802.2</v>
      </c>
      <c r="N11" s="27">
        <v>11871772.57</v>
      </c>
      <c r="O11" s="27">
        <v>6779082</v>
      </c>
      <c r="P11" s="27">
        <v>8498224.1099999994</v>
      </c>
      <c r="Q11" s="27">
        <v>4732461.55</v>
      </c>
      <c r="R11" s="27">
        <v>4853082.33</v>
      </c>
      <c r="S11" s="27">
        <v>2788478.34</v>
      </c>
      <c r="T11" s="27">
        <v>2899092.2</v>
      </c>
    </row>
    <row r="12" spans="1:20" x14ac:dyDescent="0.25">
      <c r="A12" s="28"/>
      <c r="B12" s="28"/>
      <c r="C12" s="29">
        <f t="shared" ref="C12:T12" si="0">SUM(C4:C11)</f>
        <v>41823520.740000002</v>
      </c>
      <c r="D12" s="29">
        <f t="shared" si="0"/>
        <v>40732828.599999994</v>
      </c>
      <c r="E12" s="29">
        <f t="shared" si="0"/>
        <v>44865179.969999999</v>
      </c>
      <c r="F12" s="29">
        <f t="shared" si="0"/>
        <v>52456885.850000001</v>
      </c>
      <c r="G12" s="29">
        <f t="shared" si="0"/>
        <v>55616578.389999993</v>
      </c>
      <c r="H12" s="30">
        <f t="shared" si="0"/>
        <v>48644008.940000005</v>
      </c>
      <c r="I12" s="30">
        <f t="shared" si="0"/>
        <v>59079681.660000004</v>
      </c>
      <c r="J12" s="30">
        <f t="shared" si="0"/>
        <v>52426745.710000001</v>
      </c>
      <c r="K12" s="30">
        <f t="shared" si="0"/>
        <v>45107649.780000001</v>
      </c>
      <c r="L12" s="30">
        <f t="shared" si="0"/>
        <v>46580027.120000005</v>
      </c>
      <c r="M12" s="30">
        <f t="shared" si="0"/>
        <v>44329598.120000005</v>
      </c>
      <c r="N12" s="30">
        <f t="shared" si="0"/>
        <v>55590095.269999996</v>
      </c>
      <c r="O12" s="30">
        <f t="shared" si="0"/>
        <v>49201952.779999994</v>
      </c>
      <c r="P12" s="30">
        <f t="shared" si="0"/>
        <v>51589418.070000008</v>
      </c>
      <c r="Q12" s="30">
        <f t="shared" si="0"/>
        <v>53791191.299999997</v>
      </c>
      <c r="R12" s="30">
        <f t="shared" si="0"/>
        <v>56588887.389999993</v>
      </c>
      <c r="S12" s="30">
        <f t="shared" si="0"/>
        <v>59733400.659999996</v>
      </c>
      <c r="T12" s="30">
        <f t="shared" si="0"/>
        <v>57966494.199999996</v>
      </c>
    </row>
    <row r="13" spans="1:20" x14ac:dyDescent="0.25">
      <c r="A13" s="20" t="s">
        <v>6</v>
      </c>
      <c r="B13" s="21" t="s">
        <v>22</v>
      </c>
      <c r="C13" s="22">
        <v>14099948.74</v>
      </c>
      <c r="D13" s="22">
        <v>14751277.52</v>
      </c>
      <c r="E13" s="22">
        <v>15905205.369999999</v>
      </c>
      <c r="F13" s="22">
        <v>17344955.489999998</v>
      </c>
      <c r="G13" s="22">
        <v>17836032.43</v>
      </c>
      <c r="H13" s="23">
        <v>17152179.27</v>
      </c>
      <c r="I13" s="23">
        <v>17921363.059999999</v>
      </c>
      <c r="J13" s="23">
        <v>18481427.789999999</v>
      </c>
      <c r="K13" s="31">
        <v>20057351.420000002</v>
      </c>
      <c r="L13" s="23">
        <v>21098621.059999999</v>
      </c>
      <c r="M13" s="23">
        <v>21368908.309999999</v>
      </c>
      <c r="N13" s="23">
        <v>21204300.77</v>
      </c>
      <c r="O13" s="23">
        <v>21417280.82</v>
      </c>
      <c r="P13" s="23">
        <v>21094245.620000001</v>
      </c>
      <c r="Q13" s="23">
        <v>20839902.789999999</v>
      </c>
      <c r="R13" s="23">
        <v>20854767.98</v>
      </c>
      <c r="S13" s="23">
        <v>22218593.59</v>
      </c>
      <c r="T13" s="23">
        <v>21035160.75</v>
      </c>
    </row>
    <row r="14" spans="1:20" x14ac:dyDescent="0.25">
      <c r="A14" s="24" t="s">
        <v>8</v>
      </c>
      <c r="B14" s="25" t="s">
        <v>23</v>
      </c>
      <c r="C14" s="26">
        <v>1717354.29</v>
      </c>
      <c r="D14" s="26">
        <v>1310899.44</v>
      </c>
      <c r="E14" s="26">
        <v>1396783.18</v>
      </c>
      <c r="F14" s="26">
        <v>1834003.23</v>
      </c>
      <c r="G14" s="26">
        <v>2441843.19</v>
      </c>
      <c r="H14" s="27">
        <v>2318934.12</v>
      </c>
      <c r="I14" s="27">
        <v>515138.48</v>
      </c>
      <c r="J14" s="27">
        <v>107600.4</v>
      </c>
      <c r="K14" s="32">
        <v>633656.04</v>
      </c>
      <c r="L14" s="27">
        <v>349280.54</v>
      </c>
      <c r="M14" s="27">
        <v>130372.87</v>
      </c>
      <c r="N14" s="27">
        <v>172981.84</v>
      </c>
      <c r="O14" s="27">
        <v>145908.63</v>
      </c>
      <c r="P14" s="27">
        <v>261453.91</v>
      </c>
      <c r="Q14" s="27">
        <v>396058.06</v>
      </c>
      <c r="R14" s="27">
        <v>439925.97</v>
      </c>
      <c r="S14" s="27">
        <v>378829.95</v>
      </c>
      <c r="T14" s="27">
        <v>1241843.21</v>
      </c>
    </row>
    <row r="15" spans="1:20" x14ac:dyDescent="0.25">
      <c r="A15" s="24" t="s">
        <v>10</v>
      </c>
      <c r="B15" s="25" t="s">
        <v>24</v>
      </c>
      <c r="C15" s="26">
        <v>6270845.8399999999</v>
      </c>
      <c r="D15" s="26">
        <v>7287777.3799999999</v>
      </c>
      <c r="E15" s="26">
        <v>7982823.5300000003</v>
      </c>
      <c r="F15" s="26">
        <v>7923234.3499999996</v>
      </c>
      <c r="G15" s="26">
        <v>6099020.2999999998</v>
      </c>
      <c r="H15" s="27">
        <v>6753762.8499999996</v>
      </c>
      <c r="I15" s="27">
        <v>6952190.6900000004</v>
      </c>
      <c r="J15" s="27">
        <v>6776221.1299999999</v>
      </c>
      <c r="K15" s="32">
        <v>6543092.1100000003</v>
      </c>
      <c r="L15" s="27">
        <v>6992575.3200000003</v>
      </c>
      <c r="M15" s="27">
        <v>8097964.2999999998</v>
      </c>
      <c r="N15" s="27">
        <v>7680863.71</v>
      </c>
      <c r="O15" s="27">
        <v>11855199.02</v>
      </c>
      <c r="P15" s="27">
        <v>8086459.8499999996</v>
      </c>
      <c r="Q15" s="27">
        <v>8344288.1600000001</v>
      </c>
      <c r="R15" s="27">
        <v>9719923.9499999993</v>
      </c>
      <c r="S15" s="27">
        <v>8602789.7699999996</v>
      </c>
      <c r="T15" s="27">
        <v>7683437.2800000003</v>
      </c>
    </row>
    <row r="16" spans="1:20" x14ac:dyDescent="0.25">
      <c r="A16" s="24" t="s">
        <v>12</v>
      </c>
      <c r="B16" s="25" t="s">
        <v>13</v>
      </c>
      <c r="C16" s="26">
        <v>11200997.15</v>
      </c>
      <c r="D16" s="26">
        <v>13317374.76</v>
      </c>
      <c r="E16" s="26">
        <v>13345195.619999999</v>
      </c>
      <c r="F16" s="26">
        <v>14823839.4</v>
      </c>
      <c r="G16" s="26">
        <v>15564039.529999999</v>
      </c>
      <c r="H16" s="27">
        <v>16673287.359999999</v>
      </c>
      <c r="I16" s="27">
        <v>15686071.949999999</v>
      </c>
      <c r="J16" s="27">
        <v>14299293.810000001</v>
      </c>
      <c r="K16" s="32">
        <v>13433294.1</v>
      </c>
      <c r="L16" s="27">
        <v>14211825.32</v>
      </c>
      <c r="M16" s="27">
        <v>16390727.51</v>
      </c>
      <c r="N16" s="27">
        <v>16230514.300000001</v>
      </c>
      <c r="O16" s="27">
        <v>17032483.760000002</v>
      </c>
      <c r="P16" s="27">
        <v>16476670.1</v>
      </c>
      <c r="Q16" s="27">
        <v>18807696.489999998</v>
      </c>
      <c r="R16" s="27">
        <v>19851099.41</v>
      </c>
      <c r="S16" s="27">
        <v>20964874.859999999</v>
      </c>
      <c r="T16" s="27">
        <f>21317704.64+35020.2</f>
        <v>21352724.84</v>
      </c>
    </row>
    <row r="17" spans="1:20" x14ac:dyDescent="0.25">
      <c r="A17" s="24" t="s">
        <v>25</v>
      </c>
      <c r="B17" s="25" t="s">
        <v>26</v>
      </c>
      <c r="C17" s="26">
        <v>707784.28</v>
      </c>
      <c r="D17" s="26">
        <v>694896.77</v>
      </c>
      <c r="E17" s="26">
        <v>567344.01</v>
      </c>
      <c r="F17" s="26">
        <v>747036.56</v>
      </c>
      <c r="G17" s="26">
        <v>884364.48</v>
      </c>
      <c r="H17" s="27">
        <v>898017.21</v>
      </c>
      <c r="I17" s="27">
        <v>573032.81999999995</v>
      </c>
      <c r="J17" s="27">
        <v>626693.86</v>
      </c>
      <c r="K17" s="32">
        <v>672644.8</v>
      </c>
      <c r="L17" s="27">
        <v>703723.28</v>
      </c>
      <c r="M17" s="27">
        <v>602578.72</v>
      </c>
      <c r="N17" s="27">
        <v>622853.1</v>
      </c>
      <c r="O17" s="27">
        <v>769822.24</v>
      </c>
      <c r="P17" s="27">
        <v>798806.98</v>
      </c>
      <c r="Q17" s="27">
        <v>585473.41</v>
      </c>
      <c r="R17" s="27">
        <v>559441.96</v>
      </c>
      <c r="S17" s="27">
        <v>516538.84</v>
      </c>
      <c r="T17" s="27">
        <v>461354.59</v>
      </c>
    </row>
    <row r="18" spans="1:20" x14ac:dyDescent="0.25">
      <c r="A18" s="24" t="s">
        <v>14</v>
      </c>
      <c r="B18" s="25" t="s">
        <v>27</v>
      </c>
      <c r="C18" s="26">
        <v>2110101.4700000002</v>
      </c>
      <c r="D18" s="26">
        <v>1871141.34</v>
      </c>
      <c r="E18" s="26">
        <v>2603487.84</v>
      </c>
      <c r="F18" s="26">
        <v>6036239.8200000003</v>
      </c>
      <c r="G18" s="26">
        <v>2341259.14</v>
      </c>
      <c r="H18" s="27">
        <v>714753.26</v>
      </c>
      <c r="I18" s="27">
        <v>618738.29</v>
      </c>
      <c r="J18" s="27">
        <v>902821.6</v>
      </c>
      <c r="K18" s="32">
        <v>69087.149999999994</v>
      </c>
      <c r="L18" s="27">
        <v>106166.72</v>
      </c>
      <c r="M18" s="27">
        <v>23667.05</v>
      </c>
      <c r="N18" s="27">
        <v>3600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56131.89</v>
      </c>
    </row>
    <row r="19" spans="1:20" x14ac:dyDescent="0.25">
      <c r="A19" s="24" t="s">
        <v>16</v>
      </c>
      <c r="B19" s="25" t="s">
        <v>17</v>
      </c>
      <c r="C19" s="26">
        <v>4141611.14</v>
      </c>
      <c r="D19" s="26">
        <v>1468609.56</v>
      </c>
      <c r="E19" s="26">
        <v>2669165.1</v>
      </c>
      <c r="F19" s="26">
        <v>2911879.81</v>
      </c>
      <c r="G19" s="26">
        <v>1297236.58</v>
      </c>
      <c r="H19" s="27">
        <v>907768.23</v>
      </c>
      <c r="I19" s="27">
        <v>11588173.6</v>
      </c>
      <c r="J19" s="27">
        <v>7965681.2800000003</v>
      </c>
      <c r="K19" s="32">
        <v>1613878.12</v>
      </c>
      <c r="L19" s="27">
        <v>4371400.32</v>
      </c>
      <c r="M19" s="27">
        <v>235612.36</v>
      </c>
      <c r="N19" s="27">
        <v>580575.38</v>
      </c>
      <c r="O19" s="27">
        <v>348247.79</v>
      </c>
      <c r="P19" s="27">
        <v>716136.39</v>
      </c>
      <c r="Q19" s="27">
        <v>2279600.48</v>
      </c>
      <c r="R19" s="27">
        <v>2267717.88</v>
      </c>
      <c r="S19" s="27">
        <v>2652602.69</v>
      </c>
      <c r="T19" s="27">
        <v>2604080.2400000002</v>
      </c>
    </row>
    <row r="20" spans="1:20" x14ac:dyDescent="0.25">
      <c r="A20" s="24" t="s">
        <v>18</v>
      </c>
      <c r="B20" s="25" t="s">
        <v>19</v>
      </c>
      <c r="C20" s="26">
        <v>104667.16</v>
      </c>
      <c r="D20" s="26">
        <v>98615.09</v>
      </c>
      <c r="E20" s="26">
        <v>95922.29</v>
      </c>
      <c r="F20" s="26">
        <v>95621.64</v>
      </c>
      <c r="G20" s="26">
        <v>83980.37</v>
      </c>
      <c r="H20" s="27">
        <v>87798.26</v>
      </c>
      <c r="I20" s="27">
        <v>76936.66</v>
      </c>
      <c r="J20" s="27">
        <v>62675</v>
      </c>
      <c r="K20" s="32">
        <v>53724</v>
      </c>
      <c r="L20" s="27">
        <v>47389</v>
      </c>
      <c r="M20" s="27">
        <v>63629.75</v>
      </c>
      <c r="N20" s="27">
        <v>48225.2</v>
      </c>
      <c r="O20" s="27">
        <v>44545.01</v>
      </c>
      <c r="P20" s="27">
        <v>45607.65</v>
      </c>
      <c r="Q20" s="27">
        <v>50099.97</v>
      </c>
      <c r="R20" s="27">
        <v>44515.21</v>
      </c>
      <c r="S20" s="27">
        <v>43146</v>
      </c>
      <c r="T20" s="27">
        <v>35827.550000000003</v>
      </c>
    </row>
    <row r="21" spans="1:20" x14ac:dyDescent="0.25">
      <c r="A21" s="33" t="s">
        <v>20</v>
      </c>
      <c r="B21" s="25" t="s">
        <v>21</v>
      </c>
      <c r="C21" s="26">
        <v>1605386.03</v>
      </c>
      <c r="D21" s="26">
        <v>1801132.72</v>
      </c>
      <c r="E21" s="26">
        <v>1219449.05</v>
      </c>
      <c r="F21" s="26">
        <v>2352731.9300000002</v>
      </c>
      <c r="G21" s="26">
        <v>8068449</v>
      </c>
      <c r="H21" s="27">
        <v>2882017.88</v>
      </c>
      <c r="I21" s="27">
        <v>4743824.6500000004</v>
      </c>
      <c r="J21" s="27">
        <v>1749200</v>
      </c>
      <c r="K21" s="32">
        <v>1201733.48</v>
      </c>
      <c r="L21" s="27">
        <v>6061675.1200000001</v>
      </c>
      <c r="M21" s="27">
        <v>2115467</v>
      </c>
      <c r="N21" s="27">
        <v>10261785.539999999</v>
      </c>
      <c r="O21" s="27">
        <v>2953227.21</v>
      </c>
      <c r="P21" s="27">
        <v>5641796.46</v>
      </c>
      <c r="Q21" s="27">
        <v>4872785.84</v>
      </c>
      <c r="R21" s="27">
        <v>4600000</v>
      </c>
      <c r="S21" s="27">
        <v>2675000</v>
      </c>
      <c r="T21" s="27">
        <v>3687941.42</v>
      </c>
    </row>
    <row r="22" spans="1:20" x14ac:dyDescent="0.25">
      <c r="A22" s="28"/>
      <c r="B22" s="28"/>
      <c r="C22" s="34">
        <f t="shared" ref="C22:T22" si="1">SUM(C13:C21)</f>
        <v>41958696.100000001</v>
      </c>
      <c r="D22" s="34">
        <f t="shared" si="1"/>
        <v>42601724.580000013</v>
      </c>
      <c r="E22" s="34">
        <f t="shared" si="1"/>
        <v>45785375.989999995</v>
      </c>
      <c r="F22" s="34">
        <f t="shared" si="1"/>
        <v>54069542.230000004</v>
      </c>
      <c r="G22" s="34">
        <f t="shared" si="1"/>
        <v>54616225.019999996</v>
      </c>
      <c r="H22" s="35">
        <f t="shared" si="1"/>
        <v>48388518.439999998</v>
      </c>
      <c r="I22" s="35">
        <f t="shared" si="1"/>
        <v>58675470.199999996</v>
      </c>
      <c r="J22" s="35">
        <f t="shared" si="1"/>
        <v>50971614.869999997</v>
      </c>
      <c r="K22" s="35">
        <f t="shared" si="1"/>
        <v>44278461.219999991</v>
      </c>
      <c r="L22" s="35">
        <f t="shared" si="1"/>
        <v>53942656.679999992</v>
      </c>
      <c r="M22" s="35">
        <f t="shared" si="1"/>
        <v>49028927.869999997</v>
      </c>
      <c r="N22" s="35">
        <f t="shared" si="1"/>
        <v>56805699.840000011</v>
      </c>
      <c r="O22" s="35">
        <f t="shared" si="1"/>
        <v>54566714.480000004</v>
      </c>
      <c r="P22" s="35">
        <f t="shared" si="1"/>
        <v>53121176.960000001</v>
      </c>
      <c r="Q22" s="35">
        <f t="shared" si="1"/>
        <v>56175905.199999988</v>
      </c>
      <c r="R22" s="35">
        <f t="shared" si="1"/>
        <v>58337392.360000007</v>
      </c>
      <c r="S22" s="35">
        <f t="shared" si="1"/>
        <v>58052375.700000003</v>
      </c>
      <c r="T22" s="35">
        <f t="shared" si="1"/>
        <v>58158501.770000003</v>
      </c>
    </row>
    <row r="24" spans="1:20" x14ac:dyDescent="0.25">
      <c r="C24" s="36">
        <f t="shared" ref="C24:T24" si="2">+C22-C12</f>
        <v>135175.3599999994</v>
      </c>
      <c r="D24" s="36">
        <f t="shared" si="2"/>
        <v>1868895.9800000191</v>
      </c>
      <c r="E24" s="36">
        <f t="shared" si="2"/>
        <v>920196.01999999583</v>
      </c>
      <c r="F24" s="36">
        <f t="shared" si="2"/>
        <v>1612656.3800000027</v>
      </c>
      <c r="G24" s="36">
        <f t="shared" si="2"/>
        <v>-1000353.3699999973</v>
      </c>
      <c r="H24" s="36">
        <f t="shared" si="2"/>
        <v>-255490.50000000745</v>
      </c>
      <c r="I24" s="36">
        <f t="shared" si="2"/>
        <v>-404211.46000000834</v>
      </c>
      <c r="J24" s="36">
        <f t="shared" si="2"/>
        <v>-1455130.8400000036</v>
      </c>
      <c r="K24" s="36">
        <f t="shared" si="2"/>
        <v>-829188.56000000983</v>
      </c>
      <c r="L24" s="36">
        <f t="shared" si="2"/>
        <v>7362629.5599999875</v>
      </c>
      <c r="M24" s="36">
        <f t="shared" si="2"/>
        <v>4699329.7499999925</v>
      </c>
      <c r="N24" s="36">
        <f t="shared" si="2"/>
        <v>1215604.5700000152</v>
      </c>
      <c r="O24" s="36">
        <f t="shared" si="2"/>
        <v>5364761.7000000104</v>
      </c>
      <c r="P24" s="36">
        <f t="shared" si="2"/>
        <v>1531758.8899999931</v>
      </c>
      <c r="Q24" s="36">
        <f t="shared" si="2"/>
        <v>2384713.8999999911</v>
      </c>
      <c r="R24" s="36">
        <f t="shared" si="2"/>
        <v>1748504.9700000137</v>
      </c>
      <c r="S24" s="36">
        <f t="shared" si="2"/>
        <v>-1681024.9599999934</v>
      </c>
      <c r="T24" s="36">
        <f t="shared" si="2"/>
        <v>192007.57000000775</v>
      </c>
    </row>
    <row r="26" spans="1:20" x14ac:dyDescent="0.25">
      <c r="B26" t="s">
        <v>28</v>
      </c>
      <c r="C26" s="37">
        <f>+'19 Rdo aj por hab'!D9</f>
        <v>60036</v>
      </c>
      <c r="D26" s="37">
        <f>+'19 Rdo aj por hab'!D10</f>
        <v>60532</v>
      </c>
      <c r="E26" s="37">
        <f>+'19 Rdo aj por hab'!D11</f>
        <v>60931</v>
      </c>
      <c r="F26" s="37">
        <f>+'19 Rdo aj por hab'!D12</f>
        <v>60590</v>
      </c>
      <c r="G26" s="37">
        <f>+'19 Rdo aj por hab'!D13</f>
        <v>60700</v>
      </c>
      <c r="H26" s="37">
        <f>+'19 Rdo aj por hab'!D14</f>
        <v>61698</v>
      </c>
      <c r="I26" s="37">
        <f>+'19 Rdo aj por hab'!D15</f>
        <v>61552</v>
      </c>
      <c r="J26" s="37">
        <f>+'19 Rdo aj por hab'!D16</f>
        <v>61417</v>
      </c>
      <c r="K26" s="38">
        <v>61093</v>
      </c>
      <c r="L26" s="38">
        <v>60837</v>
      </c>
      <c r="M26" s="38">
        <v>60105</v>
      </c>
      <c r="N26" s="38">
        <v>59675</v>
      </c>
      <c r="O26" s="38">
        <v>59567</v>
      </c>
      <c r="P26" s="38">
        <v>59198</v>
      </c>
      <c r="Q26" s="38">
        <v>59106</v>
      </c>
      <c r="R26" s="38">
        <v>58977</v>
      </c>
      <c r="S26" s="38">
        <v>58994</v>
      </c>
      <c r="T26" s="38">
        <v>59354</v>
      </c>
    </row>
    <row r="28" spans="1:20" x14ac:dyDescent="0.25">
      <c r="B28" t="s">
        <v>29</v>
      </c>
      <c r="K28" s="36">
        <v>25094060.199999999</v>
      </c>
      <c r="L28" s="36">
        <v>26001283.52</v>
      </c>
      <c r="M28" s="36">
        <v>26771709.620000001</v>
      </c>
      <c r="N28" s="36">
        <v>26443050.59</v>
      </c>
      <c r="O28" s="36">
        <v>26688981.890000001</v>
      </c>
      <c r="P28" s="36">
        <v>26471779.43</v>
      </c>
      <c r="Q28" s="36">
        <v>26330276.739999998</v>
      </c>
      <c r="R28" s="36">
        <v>26461635.5</v>
      </c>
      <c r="S28" s="36">
        <v>27845667.5</v>
      </c>
      <c r="T28" s="36">
        <v>27383566.210000001</v>
      </c>
    </row>
    <row r="29" spans="1:20" x14ac:dyDescent="0.25">
      <c r="B29" t="s">
        <v>30</v>
      </c>
    </row>
    <row r="31" spans="1:20" s="39" customFormat="1" x14ac:dyDescent="0.25">
      <c r="B31" s="39" t="s">
        <v>31</v>
      </c>
      <c r="K31" s="40">
        <f t="shared" ref="K31:T31" si="3">K28/K26</f>
        <v>410.75180789943198</v>
      </c>
      <c r="L31" s="40">
        <f t="shared" si="3"/>
        <v>427.39259858309907</v>
      </c>
      <c r="M31" s="40">
        <f t="shared" si="3"/>
        <v>445.41568288827887</v>
      </c>
      <c r="N31" s="40">
        <f t="shared" si="3"/>
        <v>443.11773087557606</v>
      </c>
      <c r="O31" s="40">
        <f t="shared" si="3"/>
        <v>448.04979082377827</v>
      </c>
      <c r="P31" s="40">
        <f t="shared" si="3"/>
        <v>447.17354353187608</v>
      </c>
      <c r="Q31" s="40">
        <f t="shared" si="3"/>
        <v>445.475531079755</v>
      </c>
      <c r="R31" s="40">
        <f t="shared" si="3"/>
        <v>448.67720467300813</v>
      </c>
      <c r="S31" s="40">
        <f t="shared" si="3"/>
        <v>472.00846696274198</v>
      </c>
      <c r="T31" s="40">
        <f t="shared" si="3"/>
        <v>461.36008036526607</v>
      </c>
    </row>
    <row r="34" spans="2:20" x14ac:dyDescent="0.25">
      <c r="B34" t="s">
        <v>32</v>
      </c>
      <c r="K34" s="36">
        <v>1128310.75</v>
      </c>
      <c r="L34" s="36">
        <v>160378.57</v>
      </c>
      <c r="M34" s="36">
        <v>669568.18999999994</v>
      </c>
      <c r="N34" s="36">
        <v>3188660.59</v>
      </c>
      <c r="O34" s="36">
        <v>1317559</v>
      </c>
      <c r="P34" s="36">
        <v>716384.15</v>
      </c>
      <c r="Q34" s="36">
        <v>3836423.53</v>
      </c>
      <c r="R34" s="36">
        <v>3684011.08</v>
      </c>
      <c r="S34" s="36">
        <v>5284488.6500000004</v>
      </c>
      <c r="T34" s="36">
        <v>1877998.16</v>
      </c>
    </row>
    <row r="35" spans="2:20" x14ac:dyDescent="0.25">
      <c r="B35" t="s">
        <v>33</v>
      </c>
    </row>
    <row r="37" spans="2:20" s="39" customFormat="1" x14ac:dyDescent="0.25">
      <c r="B37" s="39" t="s">
        <v>34</v>
      </c>
      <c r="K37" s="40">
        <f t="shared" ref="K37:T37" si="4">K34/K26</f>
        <v>18.468740281210614</v>
      </c>
      <c r="L37" s="40">
        <f t="shared" si="4"/>
        <v>2.6362011604779987</v>
      </c>
      <c r="M37" s="40">
        <f t="shared" si="4"/>
        <v>11.13997487729806</v>
      </c>
      <c r="N37" s="40">
        <f t="shared" si="4"/>
        <v>53.43377612065354</v>
      </c>
      <c r="O37" s="40">
        <f t="shared" si="4"/>
        <v>22.118941695905452</v>
      </c>
      <c r="P37" s="40">
        <f t="shared" si="4"/>
        <v>12.101492449069225</v>
      </c>
      <c r="Q37" s="40">
        <f t="shared" si="4"/>
        <v>64.907514127161363</v>
      </c>
      <c r="R37" s="40">
        <f t="shared" si="4"/>
        <v>62.465216609864861</v>
      </c>
      <c r="S37" s="40">
        <f t="shared" si="4"/>
        <v>89.57671373360003</v>
      </c>
      <c r="T37" s="40">
        <f t="shared" si="4"/>
        <v>31.64063348721232</v>
      </c>
    </row>
  </sheetData>
  <pageMargins left="0.17013888888888901" right="0.179861111111111" top="0.55138888888888904" bottom="0.39374999999999999" header="0.51180555555555496" footer="0.51180555555555496"/>
  <pageSetup paperSize="9" scale="8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8"/>
  <sheetViews>
    <sheetView zoomScaleNormal="100" workbookViewId="0">
      <selection activeCell="K41" sqref="K41"/>
    </sheetView>
  </sheetViews>
  <sheetFormatPr baseColWidth="10" defaultColWidth="12.5703125" defaultRowHeight="15" x14ac:dyDescent="0.25"/>
  <cols>
    <col min="1" max="1" width="19.5703125" style="2" customWidth="1"/>
    <col min="2" max="2" width="10.5703125" style="2" customWidth="1"/>
    <col min="3" max="3" width="15.7109375" style="2" customWidth="1"/>
    <col min="4" max="4" width="8.7109375" style="2" customWidth="1"/>
    <col min="5" max="5" width="17" style="2" customWidth="1"/>
    <col min="6" max="6" width="17.85546875" style="2" customWidth="1"/>
    <col min="7" max="7" width="1.28515625" style="2" customWidth="1"/>
    <col min="8" max="256" width="12.5703125" style="2"/>
    <col min="257" max="257" width="19.5703125" style="2" customWidth="1"/>
    <col min="258" max="258" width="10.5703125" style="2" customWidth="1"/>
    <col min="259" max="259" width="15.7109375" style="2" customWidth="1"/>
    <col min="260" max="260" width="8.7109375" style="2" customWidth="1"/>
    <col min="261" max="261" width="17" style="2" customWidth="1"/>
    <col min="262" max="262" width="17.85546875" style="2" customWidth="1"/>
    <col min="263" max="263" width="1.28515625" style="2" customWidth="1"/>
    <col min="264" max="512" width="12.5703125" style="2"/>
    <col min="513" max="513" width="19.5703125" style="2" customWidth="1"/>
    <col min="514" max="514" width="10.5703125" style="2" customWidth="1"/>
    <col min="515" max="515" width="15.7109375" style="2" customWidth="1"/>
    <col min="516" max="516" width="8.7109375" style="2" customWidth="1"/>
    <col min="517" max="517" width="17" style="2" customWidth="1"/>
    <col min="518" max="518" width="17.85546875" style="2" customWidth="1"/>
    <col min="519" max="519" width="1.28515625" style="2" customWidth="1"/>
    <col min="520" max="768" width="12.5703125" style="2"/>
    <col min="769" max="769" width="19.5703125" style="2" customWidth="1"/>
    <col min="770" max="770" width="10.5703125" style="2" customWidth="1"/>
    <col min="771" max="771" width="15.7109375" style="2" customWidth="1"/>
    <col min="772" max="772" width="8.7109375" style="2" customWidth="1"/>
    <col min="773" max="773" width="17" style="2" customWidth="1"/>
    <col min="774" max="774" width="17.85546875" style="2" customWidth="1"/>
    <col min="775" max="775" width="1.28515625" style="2" customWidth="1"/>
    <col min="776" max="1024" width="12.5703125" style="2"/>
  </cols>
  <sheetData>
    <row r="2" spans="1:11" s="4" customFormat="1" ht="15.75" customHeight="1" x14ac:dyDescent="0.25">
      <c r="A2" s="1" t="s">
        <v>35</v>
      </c>
      <c r="B2" s="1"/>
      <c r="C2" s="1"/>
      <c r="D2" s="1"/>
      <c r="E2" s="1"/>
      <c r="F2" s="1"/>
      <c r="G2" s="3"/>
      <c r="H2" s="3"/>
    </row>
    <row r="4" spans="1:11" ht="47.25" customHeight="1" x14ac:dyDescent="0.25">
      <c r="B4" s="5" t="s">
        <v>1</v>
      </c>
      <c r="C4" s="6" t="s">
        <v>36</v>
      </c>
      <c r="D4" s="6" t="s">
        <v>37</v>
      </c>
      <c r="E4" s="6" t="s">
        <v>38</v>
      </c>
      <c r="F4" s="7"/>
    </row>
    <row r="5" spans="1:11" x14ac:dyDescent="0.25">
      <c r="B5" s="8"/>
      <c r="C5" s="8"/>
      <c r="D5" s="8"/>
      <c r="E5" s="8"/>
    </row>
    <row r="6" spans="1:11" hidden="1" x14ac:dyDescent="0.25">
      <c r="B6" s="9">
        <v>1998</v>
      </c>
      <c r="C6" s="10">
        <v>25453454.34</v>
      </c>
      <c r="D6" s="41"/>
      <c r="E6" s="10">
        <f>+C6*(1+$D$25*(1+$D$26))*(1+$D$27)*(1+$D$24)*(1+$D$23)*(1+$D$22)*(1+$D$21)*(1+$D$20)*(1+$D$19)*(1+$D$18)*(1+$D$17)*(1+$D$16)*(1+$D$15)*(1+$D$14)*(1+$D$13)*(1+$D$12)*(1+$D$11)*(1+$D$10)*(1+$D$9)*(1+$D$8)*(1+$D$7)*(1+$D$28)</f>
        <v>38798554.920812652</v>
      </c>
      <c r="F6" s="12"/>
      <c r="G6" s="13"/>
      <c r="I6" s="14"/>
      <c r="J6" s="14"/>
      <c r="K6" s="14"/>
    </row>
    <row r="7" spans="1:11" hidden="1" x14ac:dyDescent="0.25">
      <c r="B7" s="9">
        <v>1999</v>
      </c>
      <c r="C7" s="10">
        <v>26384624.280000001</v>
      </c>
      <c r="D7" s="41">
        <v>2.9000000000000001E-2</v>
      </c>
      <c r="E7" s="10">
        <f>+C7*(1+$D$25*(1+$D$26))*(1+$D$27)*(1+$D$24)*(1+$D$23)*(1+$D$22)*(1+$D$21)*(1+$D$20)*(1+$D$19)*(1+$D$18)*(1+$D$17)*(1+$D$16)*(1+$D$15)*(1+$D$14)*(1+$D$13)*(1+$D$12)*(1+$D$11)*(1+$D$10)*(1+$D$9)*(1+$D$8)*(1+$D$28)</f>
        <v>39084481.959580109</v>
      </c>
      <c r="F7" s="12"/>
      <c r="G7" s="13"/>
      <c r="I7" s="14"/>
      <c r="J7" s="14"/>
      <c r="K7" s="14"/>
    </row>
    <row r="8" spans="1:11" hidden="1" x14ac:dyDescent="0.25">
      <c r="B8" s="9">
        <v>2000</v>
      </c>
      <c r="C8" s="10">
        <v>26080816.239999998</v>
      </c>
      <c r="D8" s="41">
        <v>0.04</v>
      </c>
      <c r="E8" s="10">
        <f>+C8*(1+$D$25*(1+$D$26))*(1+$D$27)*(1+$D$24)*(1+$D$23)*(1+$D$22)*(1+$D$21)*(1+$D$20)*(1+$D$19)*(1+$D$18)*(1+$D$17)*(1+$D$16)*(1+$D$15)*(1+$D$14)*(1+$D$13)*(1+$D$12)*(1+$D$11)*(1+$D$10)*(1+$D$9)*(1+$D$28)</f>
        <v>37148500.29720109</v>
      </c>
      <c r="F8" s="12"/>
      <c r="G8" s="13"/>
      <c r="I8" s="14"/>
      <c r="J8" s="14"/>
      <c r="K8" s="14"/>
    </row>
    <row r="9" spans="1:11" hidden="1" x14ac:dyDescent="0.25">
      <c r="B9" s="9">
        <v>2001</v>
      </c>
      <c r="C9" s="10">
        <v>31317828.390000001</v>
      </c>
      <c r="D9" s="41">
        <v>2.7E-2</v>
      </c>
      <c r="E9" s="10">
        <f>+C9*(1+$D$25*(1+$D$26))*(1+$D$27)*(1+$D$24)*(1+$D$23)*(1+$D$22)*(1+$D$21)*(1+$D$20)*(1+$D$19)*(1+$D$18)*(1+$D$17)*(1+$D$16)*(1+$D$15)*(1+$D$14)*(1+$D$13)*(1+$D$12)*(1+$D$11)*(1+$D$10)*(1+$D$28)</f>
        <v>43435147.732988022</v>
      </c>
      <c r="F9" s="12"/>
      <c r="G9" s="13"/>
      <c r="I9" s="14"/>
      <c r="J9" s="14"/>
      <c r="K9" s="14"/>
    </row>
    <row r="10" spans="1:11" hidden="1" x14ac:dyDescent="0.25">
      <c r="B10" s="9">
        <v>2002</v>
      </c>
      <c r="C10" s="10">
        <v>33014151.789999999</v>
      </c>
      <c r="D10" s="41">
        <v>0.04</v>
      </c>
      <c r="E10" s="10">
        <f>+C10*(1+$D$25*(1+$D$26))*(1+$D$27)*(1+$D$24)*(1+$D$23)*(1+$D$22)*(1+$D$21)*(1+$D$20)*(1+$D$19)*(1+$D$18)*(1+$D$17)*(1+$D$16)*(1+$D$15)*(1+$D$14)*(1+$D$13)*(1+$D$12)*(1+$D$11)*(1+$D$28)</f>
        <v>44026733.763417967</v>
      </c>
      <c r="F10" s="12"/>
      <c r="G10" s="13"/>
      <c r="I10" s="14"/>
      <c r="J10" s="14"/>
      <c r="K10" s="14"/>
    </row>
    <row r="11" spans="1:11" hidden="1" x14ac:dyDescent="0.25">
      <c r="B11" s="9">
        <v>2003</v>
      </c>
      <c r="C11" s="10">
        <v>32981978.050000001</v>
      </c>
      <c r="D11" s="41">
        <v>2.5999999999999999E-2</v>
      </c>
      <c r="E11" s="10">
        <f>+C11*(1+$D$25*(1+$D$26))*(1+$D$27)*(1+$D$24)*(1+$D$23)*(1+$D$22)*(1+$D$21)*(1+$D$20)*(1+$D$19)*(1+$D$18)*(1+$D$17)*(1+$D$16)*(1+$D$15)*(1+$D$14)*(1+$D$13)*(1+$D$12)*(1+$D$28)</f>
        <v>42869227.854690805</v>
      </c>
      <c r="F11" s="12"/>
      <c r="G11" s="13"/>
      <c r="I11" s="14"/>
      <c r="J11" s="14"/>
      <c r="K11" s="14"/>
    </row>
    <row r="12" spans="1:11" hidden="1" x14ac:dyDescent="0.25">
      <c r="B12" s="9">
        <v>2004</v>
      </c>
      <c r="C12" s="10">
        <v>33024719.510000002</v>
      </c>
      <c r="D12" s="41">
        <v>3.2000000000000001E-2</v>
      </c>
      <c r="E12" s="10">
        <f>+C12*(1+$D$25*(1+$D$26))*(1+$D$27)*(1+$D$24)*(1+$D$23)*(1+$D$22)*(1+$D$21)*(1+$D$20)*(1+$D$19)*(1+$D$18)*(1+$D$17)*(1+$D$16)*(1+$D$15)*(1+$D$14)*(1+$D$13)*(1+$D$28)</f>
        <v>41593781.236512311</v>
      </c>
      <c r="F12" s="12"/>
      <c r="G12" s="13"/>
      <c r="I12" s="14"/>
      <c r="J12" s="14"/>
      <c r="K12" s="14"/>
    </row>
    <row r="13" spans="1:11" hidden="1" x14ac:dyDescent="0.25">
      <c r="B13" s="9">
        <v>2005</v>
      </c>
      <c r="C13" s="10">
        <v>32206151.34</v>
      </c>
      <c r="D13" s="41">
        <v>3.6999999999999998E-2</v>
      </c>
      <c r="E13" s="10">
        <f>+C13*(1+$D$25*(1+$D$26))*(1+$D$27)*(1+$D$24)*(1+$D$23)*(1+$D$22)*(1+$D$21)*(1+$D$20)*(1+$D$19)*(1+$D$18)*(1+$D$17)*(1+$D$16)*(1+$D$15)*(1+$D$14)*(1+$D$28)</f>
        <v>39115540.760817572</v>
      </c>
      <c r="F13" s="12"/>
      <c r="G13" s="13"/>
      <c r="I13" s="14"/>
      <c r="J13" s="14"/>
      <c r="K13" s="14"/>
    </row>
    <row r="14" spans="1:11" hidden="1" x14ac:dyDescent="0.25">
      <c r="B14" s="9">
        <v>2006</v>
      </c>
      <c r="C14" s="10">
        <v>32459659.899999999</v>
      </c>
      <c r="D14" s="41">
        <v>2.7E-2</v>
      </c>
      <c r="E14" s="10">
        <f>+C14*(1+$D$25*(1+$D$26))*(1+$D$27)*(1+$D$24)*(1+$D$23)*(1+$D$22)*(1+$D$21)*(1+$D$20)*(1+$D$19)*(1+$D$18)*(1+$D$17)*(1+$D$16)*(1+$D$15)*(1+$D$28)</f>
        <v>38386987.454904146</v>
      </c>
      <c r="F14" s="12"/>
      <c r="G14" s="13"/>
      <c r="I14" s="14"/>
      <c r="J14" s="14"/>
      <c r="K14" s="14"/>
    </row>
    <row r="15" spans="1:11" hidden="1" x14ac:dyDescent="0.25">
      <c r="B15" s="9">
        <v>2007</v>
      </c>
      <c r="C15" s="10">
        <v>38152403.460000001</v>
      </c>
      <c r="D15" s="41">
        <v>4.2000000000000003E-2</v>
      </c>
      <c r="E15" s="10">
        <f>+C15*(1+$D$25*(1+$D$26))*(1+$D$27)*(1+$D$24)*(1+$D$23)*(1+$D$22)*(1+$D$21)*(1+$D$20)*(1+$D$19)*(1+$D$18)*(1+$D$17)*(1+$D$16)*(1+$D$28)</f>
        <v>43300633.351597987</v>
      </c>
      <c r="F15" s="12"/>
      <c r="G15" s="13"/>
      <c r="I15" s="14"/>
      <c r="J15" s="14"/>
      <c r="K15" s="14"/>
    </row>
    <row r="16" spans="1:11" hidden="1" x14ac:dyDescent="0.25">
      <c r="B16" s="9">
        <v>2008</v>
      </c>
      <c r="C16" s="10">
        <v>38149661.210000001</v>
      </c>
      <c r="D16" s="41">
        <v>1.4E-2</v>
      </c>
      <c r="E16" s="10">
        <f>+C16*(1+$D$25*(1+$D$26))*(1+$D$27)*(1+$D$24)*(1+$D$23)*(1+$D$22)*(1+$D$21)*(1+$D$20)*(1+$D$19)*(1+$D$18)*(1+$D$17)*(1+$D$28)</f>
        <v>42699724.917521864</v>
      </c>
      <c r="F16" s="12"/>
      <c r="G16" s="13"/>
      <c r="I16" s="14"/>
      <c r="J16" s="14"/>
      <c r="K16" s="14"/>
    </row>
    <row r="17" spans="2:11" hidden="1" x14ac:dyDescent="0.25">
      <c r="B17" s="9">
        <v>2009</v>
      </c>
      <c r="C17" s="10">
        <v>39979163.82</v>
      </c>
      <c r="D17" s="41">
        <v>8.0000000000000002E-3</v>
      </c>
      <c r="E17" s="10">
        <f>+C17*(1+$D$25*(1+$D$26))*(1+$D$27)*(1+$D$24)*(1+$D$23)*(1+$D$22)*(1+$D$21)*(1+$D$20)*(1+$D$19)*(1+$D$18)*(1+$D$28)</f>
        <v>44392291.745417506</v>
      </c>
      <c r="F17" s="12"/>
      <c r="G17" s="13"/>
      <c r="I17" s="14"/>
      <c r="J17" s="14"/>
      <c r="K17" s="14"/>
    </row>
    <row r="18" spans="2:11" hidden="1" x14ac:dyDescent="0.25">
      <c r="B18" s="9">
        <v>2010</v>
      </c>
      <c r="C18" s="10">
        <v>37952253.270000003</v>
      </c>
      <c r="D18" s="41">
        <v>0.03</v>
      </c>
      <c r="E18" s="10">
        <f>+C18*(1+$D$25*(1+$D$26))*(1+$D$27)*(1+$D$24)*(1+$D$23)*(1+$D$22)*(1+$D$21)*(1+$D$20)*(1+$D$19)*(1+$D$28)</f>
        <v>40914212.872303404</v>
      </c>
      <c r="F18" s="12"/>
      <c r="G18" s="13"/>
      <c r="I18" s="14"/>
      <c r="J18" s="14"/>
      <c r="K18" s="14"/>
    </row>
    <row r="19" spans="2:11" x14ac:dyDescent="0.25">
      <c r="B19" s="9">
        <v>2011</v>
      </c>
      <c r="C19" s="10">
        <v>35627633.729999997</v>
      </c>
      <c r="D19" s="41">
        <v>2.4E-2</v>
      </c>
      <c r="E19" s="10">
        <f>+C19*(1+$D$25*(1+$D$26))*(1+$D$27)*(1+$D$24)*(1+$D$23)*(1+$D$22)*(1+$D$21)*(1+$D$20)*(1+$D$28)</f>
        <v>37507978.389244489</v>
      </c>
      <c r="F19" s="12"/>
      <c r="G19" s="13"/>
      <c r="I19" s="14"/>
      <c r="J19" s="14"/>
      <c r="K19" s="14"/>
    </row>
    <row r="20" spans="2:11" x14ac:dyDescent="0.25">
      <c r="B20" s="9">
        <v>2012</v>
      </c>
      <c r="C20" s="10">
        <v>32996576.77</v>
      </c>
      <c r="D20" s="41">
        <v>2.9000000000000001E-2</v>
      </c>
      <c r="E20" s="10">
        <f>+C20*(1+$D$25*(1+$D$26))*(1+$D$27)*(1+$D$24)*(1+$D$23)*(1+$D$22)*(1+$D$21)*(1+$D$28)</f>
        <v>33759047.898295023</v>
      </c>
      <c r="F20" s="12"/>
      <c r="G20" s="13"/>
      <c r="I20" s="14"/>
      <c r="J20" s="14"/>
      <c r="K20" s="14"/>
    </row>
    <row r="21" spans="2:11" x14ac:dyDescent="0.25">
      <c r="B21" s="9">
        <v>2013</v>
      </c>
      <c r="C21" s="10">
        <v>30196241.57</v>
      </c>
      <c r="D21" s="41">
        <v>3.0000000000000001E-3</v>
      </c>
      <c r="E21" s="10">
        <f>+C21*(1+$D$25*(1+$D$26))*(1+$D$27)*(1+$D$24)*(1+$D$23)*(1+$D$22)*(1+$D$28)</f>
        <v>30801598.924151041</v>
      </c>
      <c r="F21" s="12"/>
      <c r="G21" s="13"/>
      <c r="I21" s="14"/>
      <c r="J21" s="14"/>
      <c r="K21" s="14"/>
    </row>
    <row r="22" spans="2:11" x14ac:dyDescent="0.25">
      <c r="B22" s="9">
        <v>2014</v>
      </c>
      <c r="C22" s="10">
        <v>28586254.52</v>
      </c>
      <c r="D22" s="41">
        <v>-0.01</v>
      </c>
      <c r="E22" s="10">
        <f>+C22*(1+$D$25*(1+$D$26))*(1+$D$27)*(1+$D$24)*(1+$D$23)*(1+$D$28)</f>
        <v>29453874.499666203</v>
      </c>
      <c r="F22" s="12"/>
      <c r="G22" s="13"/>
      <c r="I22" s="14"/>
      <c r="J22" s="14"/>
      <c r="K22" s="14"/>
    </row>
    <row r="23" spans="2:11" x14ac:dyDescent="0.25">
      <c r="B23" s="9">
        <v>2015</v>
      </c>
      <c r="C23" s="10">
        <v>24760404.100000001</v>
      </c>
      <c r="D23" s="41">
        <v>0</v>
      </c>
      <c r="E23" s="10">
        <f>+C23*(1+$D$25*(1+$D$26))*(1+$D$27)*(1+$D$24)*(1+$D$28)</f>
        <v>25511905.885123301</v>
      </c>
      <c r="F23" s="12"/>
      <c r="G23" s="13"/>
      <c r="I23" s="14"/>
      <c r="J23" s="14"/>
      <c r="K23" s="14"/>
    </row>
    <row r="24" spans="2:11" x14ac:dyDescent="0.25">
      <c r="B24" s="9">
        <v>2016</v>
      </c>
      <c r="C24" s="10">
        <v>21903976.449999999</v>
      </c>
      <c r="D24" s="41">
        <v>1.6E-2</v>
      </c>
      <c r="E24" s="10">
        <f>+C24*(1+$D$25*(1+$D$26))*(1+$D$27)*(1+$D$28)</f>
        <v>22213369.037928291</v>
      </c>
      <c r="F24" s="12"/>
      <c r="G24" s="13"/>
      <c r="I24" s="14"/>
      <c r="J24" s="14"/>
      <c r="K24" s="14"/>
    </row>
    <row r="25" spans="2:11" x14ac:dyDescent="0.25">
      <c r="B25" s="9">
        <v>2017</v>
      </c>
      <c r="C25" s="10">
        <v>22044300.739999998</v>
      </c>
      <c r="D25" s="41">
        <v>1.0999999999999999E-2</v>
      </c>
      <c r="E25" s="10">
        <f>+(C25*(1+$D$26))*(1+$D$27)*(1+$D$28)</f>
        <v>22374866.492632683</v>
      </c>
      <c r="F25" s="12"/>
      <c r="G25" s="13"/>
      <c r="I25" s="14"/>
      <c r="J25" s="14"/>
      <c r="K25" s="14"/>
    </row>
    <row r="26" spans="2:11" x14ac:dyDescent="0.25">
      <c r="B26" s="9">
        <v>2018</v>
      </c>
      <c r="C26" s="10">
        <v>21791218.41</v>
      </c>
      <c r="D26" s="41">
        <v>1.2E-2</v>
      </c>
      <c r="E26" s="10">
        <f>+C26*((1+$D$27))*((1+$D$28))</f>
        <v>21855720.416493602</v>
      </c>
      <c r="F26" s="12"/>
      <c r="G26" s="13"/>
      <c r="I26" s="14"/>
      <c r="J26" s="14"/>
      <c r="K26" s="14"/>
    </row>
    <row r="27" spans="2:11" x14ac:dyDescent="0.25">
      <c r="B27" s="9">
        <v>2019</v>
      </c>
      <c r="C27" s="10">
        <v>21677740.07</v>
      </c>
      <c r="D27" s="41">
        <v>8.0000000000000002E-3</v>
      </c>
      <c r="E27" s="10">
        <f>+C27*((1+$D$28))</f>
        <v>21569351.369649999</v>
      </c>
      <c r="F27" s="12"/>
      <c r="G27" s="13"/>
      <c r="I27" s="14"/>
      <c r="J27" s="14"/>
      <c r="K27" s="14"/>
    </row>
    <row r="28" spans="2:11" x14ac:dyDescent="0.25">
      <c r="B28" s="9">
        <v>2020</v>
      </c>
      <c r="C28" s="10">
        <v>22466589.289999999</v>
      </c>
      <c r="D28" s="41">
        <v>-5.0000000000000001E-3</v>
      </c>
      <c r="E28" s="10">
        <f>+C28</f>
        <v>22466589.289999999</v>
      </c>
      <c r="F28" s="12"/>
      <c r="G28" s="13"/>
      <c r="I28" s="14"/>
      <c r="J28" s="14"/>
      <c r="K28" s="14"/>
    </row>
  </sheetData>
  <mergeCells count="1">
    <mergeCell ref="A2:F2"/>
  </mergeCells>
  <pageMargins left="0.32013888888888897" right="0.34027777777777801" top="0.75" bottom="0.75" header="0.51180555555555496" footer="0.51180555555555496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3" sqref="M3:M5"/>
    </sheetView>
  </sheetViews>
  <sheetFormatPr baseColWidth="10" defaultColWidth="10.42578125" defaultRowHeight="15" x14ac:dyDescent="0.25"/>
  <cols>
    <col min="1" max="1" width="1.85546875" customWidth="1"/>
    <col min="2" max="2" width="35.28515625" customWidth="1"/>
    <col min="3" max="13" width="14" customWidth="1"/>
    <col min="14" max="14" width="1.85546875" customWidth="1"/>
    <col min="230" max="230" width="4" customWidth="1"/>
    <col min="231" max="231" width="27.7109375" customWidth="1"/>
    <col min="232" max="232" width="15.42578125" customWidth="1"/>
    <col min="233" max="233" width="13.7109375" customWidth="1"/>
    <col min="242" max="242" width="18" customWidth="1"/>
    <col min="250" max="250" width="7.5703125" customWidth="1"/>
    <col min="252" max="252" width="18" customWidth="1"/>
    <col min="486" max="486" width="4" customWidth="1"/>
    <col min="487" max="487" width="27.7109375" customWidth="1"/>
    <col min="488" max="488" width="15.42578125" customWidth="1"/>
    <col min="489" max="489" width="13.7109375" customWidth="1"/>
    <col min="498" max="498" width="18" customWidth="1"/>
    <col min="506" max="506" width="7.5703125" customWidth="1"/>
    <col min="508" max="508" width="18" customWidth="1"/>
    <col min="742" max="742" width="4" customWidth="1"/>
    <col min="743" max="743" width="27.7109375" customWidth="1"/>
    <col min="744" max="744" width="15.42578125" customWidth="1"/>
    <col min="745" max="745" width="13.7109375" customWidth="1"/>
    <col min="754" max="754" width="18" customWidth="1"/>
    <col min="762" max="762" width="7.5703125" customWidth="1"/>
    <col min="764" max="764" width="18" customWidth="1"/>
    <col min="998" max="998" width="4" customWidth="1"/>
    <col min="999" max="999" width="27.7109375" customWidth="1"/>
    <col min="1000" max="1000" width="15.42578125" customWidth="1"/>
    <col min="1001" max="1001" width="13.7109375" customWidth="1"/>
    <col min="1010" max="1010" width="18" customWidth="1"/>
    <col min="1018" max="1018" width="7.5703125" customWidth="1"/>
    <col min="1020" max="1020" width="18" customWidth="1"/>
  </cols>
  <sheetData>
    <row r="1" spans="1:13" x14ac:dyDescent="0.25">
      <c r="B1" s="15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3" x14ac:dyDescent="0.25">
      <c r="A3" s="17"/>
      <c r="B3" s="2"/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  <c r="L3" s="19">
        <v>2020</v>
      </c>
      <c r="M3" s="19">
        <v>2021</v>
      </c>
    </row>
    <row r="4" spans="1:13" ht="15.75" x14ac:dyDescent="0.3">
      <c r="A4" s="8"/>
      <c r="B4" s="42" t="s">
        <v>40</v>
      </c>
      <c r="C4" s="30">
        <v>45702527.350000001</v>
      </c>
      <c r="D4" s="30">
        <v>45746420.979999997</v>
      </c>
      <c r="E4" s="30">
        <v>46373887.240000002</v>
      </c>
      <c r="F4" s="30">
        <v>50012711.920000002</v>
      </c>
      <c r="G4" s="30">
        <v>47025064.030000001</v>
      </c>
      <c r="H4" s="30">
        <v>53373853.329999998</v>
      </c>
      <c r="I4" s="30">
        <v>55617903.869999997</v>
      </c>
      <c r="J4" s="30">
        <v>59553282.700000003</v>
      </c>
      <c r="K4" s="30">
        <v>64264181.659999996</v>
      </c>
      <c r="L4" s="30">
        <v>59808978.979999997</v>
      </c>
      <c r="M4" s="30">
        <v>69674236.090000004</v>
      </c>
    </row>
    <row r="5" spans="1:13" ht="15.75" x14ac:dyDescent="0.3">
      <c r="A5" s="8"/>
      <c r="B5" s="42" t="s">
        <v>41</v>
      </c>
      <c r="C5" s="35">
        <v>44459645.689999998</v>
      </c>
      <c r="D5" s="35">
        <v>45746420.979999997</v>
      </c>
      <c r="E5" s="35">
        <v>46373887.240000002</v>
      </c>
      <c r="F5" s="35">
        <v>50012711.920000002</v>
      </c>
      <c r="G5" s="35">
        <v>44060943.270000003</v>
      </c>
      <c r="H5" s="35">
        <v>53373853.329999998</v>
      </c>
      <c r="I5" s="35">
        <v>55617903.869999997</v>
      </c>
      <c r="J5" s="35">
        <v>59553282.700000003</v>
      </c>
      <c r="K5" s="35">
        <v>64264181.659999996</v>
      </c>
      <c r="L5" s="35">
        <v>59808978.979999997</v>
      </c>
      <c r="M5" s="35">
        <v>69632099.120000005</v>
      </c>
    </row>
    <row r="7" spans="1:13" x14ac:dyDescent="0.25">
      <c r="C7" s="36">
        <f t="shared" ref="C7:M7" si="0">+C4-C5</f>
        <v>1242881.6600000039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2964120.7599999979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42136.969999998808</v>
      </c>
    </row>
    <row r="10" spans="1:13" ht="15.75" x14ac:dyDescent="0.3">
      <c r="B10" s="43" t="s">
        <v>42</v>
      </c>
      <c r="C10" s="36">
        <f t="shared" ref="C10:M10" si="1">SUM(C11:C16)</f>
        <v>890783.28</v>
      </c>
      <c r="D10" s="36">
        <f t="shared" si="1"/>
        <v>1250489.76</v>
      </c>
      <c r="E10" s="36">
        <f t="shared" si="1"/>
        <v>1032261.1</v>
      </c>
      <c r="F10" s="36">
        <f t="shared" si="1"/>
        <v>1068127.18</v>
      </c>
      <c r="G10" s="36">
        <f t="shared" si="1"/>
        <v>1068127.18</v>
      </c>
      <c r="H10" s="36">
        <f t="shared" si="1"/>
        <v>1821707.92</v>
      </c>
      <c r="I10" s="36">
        <f t="shared" si="1"/>
        <v>1907497</v>
      </c>
      <c r="J10" s="36">
        <f t="shared" si="1"/>
        <v>1686392</v>
      </c>
      <c r="K10" s="36">
        <f t="shared" si="1"/>
        <v>1446045.53</v>
      </c>
      <c r="L10" s="36">
        <f t="shared" si="1"/>
        <v>1620790.73</v>
      </c>
      <c r="M10" s="36">
        <f t="shared" si="1"/>
        <v>2199372.5</v>
      </c>
    </row>
    <row r="11" spans="1:13" x14ac:dyDescent="0.25">
      <c r="B11" s="44" t="s">
        <v>43</v>
      </c>
      <c r="C11" s="36">
        <v>613800</v>
      </c>
      <c r="D11" s="36">
        <v>747450</v>
      </c>
      <c r="E11" s="36">
        <v>651000</v>
      </c>
      <c r="F11" s="36">
        <v>841650</v>
      </c>
      <c r="G11" s="36">
        <v>841650</v>
      </c>
      <c r="H11" s="36">
        <v>897357</v>
      </c>
      <c r="I11" s="36">
        <v>897357</v>
      </c>
      <c r="J11" s="36">
        <v>749952</v>
      </c>
      <c r="K11" s="36">
        <v>734700</v>
      </c>
      <c r="L11" s="36">
        <v>1097400</v>
      </c>
      <c r="M11" s="36">
        <v>1097400</v>
      </c>
    </row>
    <row r="12" spans="1:13" x14ac:dyDescent="0.25">
      <c r="B12" s="44" t="s">
        <v>44</v>
      </c>
      <c r="C12" s="36">
        <v>215600</v>
      </c>
      <c r="D12" s="36">
        <v>450800</v>
      </c>
      <c r="E12" s="36">
        <v>324000</v>
      </c>
      <c r="F12" s="36">
        <v>166500</v>
      </c>
      <c r="G12" s="36">
        <v>166500</v>
      </c>
      <c r="H12" s="36">
        <v>855000</v>
      </c>
      <c r="I12" s="36">
        <v>945000</v>
      </c>
      <c r="J12" s="36">
        <v>870000</v>
      </c>
      <c r="K12" s="36">
        <v>645000</v>
      </c>
      <c r="L12" s="36">
        <v>459160</v>
      </c>
      <c r="M12" s="36">
        <v>1041460</v>
      </c>
    </row>
    <row r="13" spans="1:13" x14ac:dyDescent="0.25">
      <c r="B13" s="44" t="s">
        <v>45</v>
      </c>
      <c r="C13" s="36">
        <v>100</v>
      </c>
      <c r="D13" s="36">
        <v>50</v>
      </c>
      <c r="E13" s="36">
        <v>50</v>
      </c>
      <c r="F13" s="36">
        <v>50</v>
      </c>
      <c r="G13" s="36">
        <v>50</v>
      </c>
      <c r="H13" s="36">
        <v>50</v>
      </c>
      <c r="I13" s="36">
        <v>50</v>
      </c>
      <c r="J13" s="36">
        <v>50</v>
      </c>
      <c r="K13" s="36">
        <v>0</v>
      </c>
      <c r="L13" s="36">
        <v>0</v>
      </c>
      <c r="M13" s="36">
        <v>0</v>
      </c>
    </row>
    <row r="14" spans="1:13" x14ac:dyDescent="0.25">
      <c r="B14" s="44" t="s">
        <v>46</v>
      </c>
      <c r="C14" s="36">
        <v>17496</v>
      </c>
      <c r="D14" s="36">
        <v>6912</v>
      </c>
      <c r="E14" s="36">
        <v>10575</v>
      </c>
      <c r="F14" s="36">
        <v>12637.5</v>
      </c>
      <c r="G14" s="36">
        <v>12637.5</v>
      </c>
      <c r="H14" s="36">
        <v>22575</v>
      </c>
      <c r="I14" s="36">
        <v>18825</v>
      </c>
      <c r="J14" s="36">
        <v>19200</v>
      </c>
      <c r="K14" s="36">
        <v>18825</v>
      </c>
      <c r="L14" s="36">
        <v>15075</v>
      </c>
      <c r="M14" s="36">
        <v>12037.5</v>
      </c>
    </row>
    <row r="15" spans="1:13" x14ac:dyDescent="0.25">
      <c r="B15" s="44" t="s">
        <v>47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x14ac:dyDescent="0.25">
      <c r="B16" s="44" t="s">
        <v>48</v>
      </c>
      <c r="C16" s="36">
        <v>43787.28</v>
      </c>
      <c r="D16" s="36">
        <v>45277.760000000002</v>
      </c>
      <c r="E16" s="36">
        <v>46636.1</v>
      </c>
      <c r="F16" s="36">
        <v>47289.68</v>
      </c>
      <c r="G16" s="36">
        <v>47289.68</v>
      </c>
      <c r="H16" s="36">
        <v>46725.919999999998</v>
      </c>
      <c r="I16" s="36">
        <v>46265</v>
      </c>
      <c r="J16" s="36">
        <v>47190</v>
      </c>
      <c r="K16" s="36">
        <v>47520.53</v>
      </c>
      <c r="L16" s="36">
        <v>49155.73</v>
      </c>
      <c r="M16" s="36">
        <v>48475</v>
      </c>
    </row>
    <row r="17" spans="2:13" x14ac:dyDescent="0.25">
      <c r="B17" s="8"/>
    </row>
    <row r="18" spans="2:13" x14ac:dyDescent="0.25">
      <c r="B18" s="8"/>
    </row>
    <row r="19" spans="2:13" s="39" customFormat="1" x14ac:dyDescent="0.25">
      <c r="B19" s="39" t="s">
        <v>49</v>
      </c>
      <c r="C19" s="45">
        <f t="shared" ref="C19:M19" si="2">C10/C4</f>
        <v>1.9490897585995318E-2</v>
      </c>
      <c r="D19" s="45">
        <f t="shared" si="2"/>
        <v>2.7335247943149586E-2</v>
      </c>
      <c r="E19" s="45">
        <f t="shared" si="2"/>
        <v>2.2259533574524645E-2</v>
      </c>
      <c r="F19" s="45">
        <f t="shared" si="2"/>
        <v>2.1357113801558473E-2</v>
      </c>
      <c r="G19" s="45">
        <f t="shared" si="2"/>
        <v>2.2713997355082387E-2</v>
      </c>
      <c r="H19" s="45">
        <f t="shared" si="2"/>
        <v>3.4131092404678737E-2</v>
      </c>
      <c r="I19" s="45">
        <f t="shared" si="2"/>
        <v>3.4296456127842205E-2</v>
      </c>
      <c r="J19" s="45">
        <f t="shared" si="2"/>
        <v>2.8317364275202244E-2</v>
      </c>
      <c r="K19" s="45">
        <f t="shared" si="2"/>
        <v>2.2501578525507986E-2</v>
      </c>
      <c r="L19" s="45">
        <f t="shared" si="2"/>
        <v>2.7099454925354757E-2</v>
      </c>
      <c r="M19" s="45">
        <f t="shared" si="2"/>
        <v>3.1566510426594613E-2</v>
      </c>
    </row>
    <row r="22" spans="2:13" ht="15.75" x14ac:dyDescent="0.3">
      <c r="B22" s="43" t="s">
        <v>50</v>
      </c>
      <c r="C22" s="36">
        <v>295218.76</v>
      </c>
      <c r="D22" s="36">
        <v>369909.24</v>
      </c>
      <c r="E22" s="36">
        <v>595691.43999999994</v>
      </c>
      <c r="F22" s="36">
        <v>3512689.14</v>
      </c>
      <c r="G22" s="36">
        <v>387689.14</v>
      </c>
      <c r="H22" s="36">
        <v>732217.29</v>
      </c>
      <c r="I22" s="36">
        <v>445232.14</v>
      </c>
      <c r="J22" s="36">
        <v>1752425.32</v>
      </c>
      <c r="K22" s="36">
        <v>1794077.01</v>
      </c>
      <c r="L22" s="36">
        <v>1997378.09</v>
      </c>
      <c r="M22" s="36">
        <v>2043959.91</v>
      </c>
    </row>
    <row r="23" spans="2:13" x14ac:dyDescent="0.25">
      <c r="B23" s="46" t="s">
        <v>51</v>
      </c>
    </row>
    <row r="25" spans="2:13" s="39" customFormat="1" x14ac:dyDescent="0.25">
      <c r="B25" s="39" t="s">
        <v>52</v>
      </c>
      <c r="C25" s="45">
        <f t="shared" ref="C25:M25" si="3">C22/C5</f>
        <v>6.6401509822738318E-3</v>
      </c>
      <c r="D25" s="45">
        <f t="shared" si="3"/>
        <v>8.0860804424836129E-3</v>
      </c>
      <c r="E25" s="45">
        <f t="shared" si="3"/>
        <v>1.2845406659939943E-2</v>
      </c>
      <c r="F25" s="45">
        <f t="shared" si="3"/>
        <v>7.0235926130518059E-2</v>
      </c>
      <c r="G25" s="45">
        <f t="shared" si="3"/>
        <v>8.7989296467006848E-3</v>
      </c>
      <c r="H25" s="45">
        <f t="shared" si="3"/>
        <v>1.3718651442923656E-2</v>
      </c>
      <c r="I25" s="45">
        <f t="shared" si="3"/>
        <v>8.0051945330531574E-3</v>
      </c>
      <c r="J25" s="45">
        <f t="shared" si="3"/>
        <v>2.9426175024269485E-2</v>
      </c>
      <c r="K25" s="45">
        <f t="shared" si="3"/>
        <v>2.791721552593408E-2</v>
      </c>
      <c r="L25" s="45">
        <f t="shared" si="3"/>
        <v>3.3395956996154698E-2</v>
      </c>
      <c r="M25" s="45">
        <f t="shared" si="3"/>
        <v>2.9353702327392938E-2</v>
      </c>
    </row>
  </sheetData>
  <pageMargins left="0.15763888888888899" right="0.196527777777778" top="0.74791666666666701" bottom="0.74791666666666701" header="0.51180555555555496" footer="0.51180555555555496"/>
  <pageSetup paperSize="9" scale="7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19 Rdo aj por hab</vt:lpstr>
      <vt:lpstr>21 y 34 por hab</vt:lpstr>
      <vt:lpstr>27 28 y 30 Duda Publica</vt:lpstr>
      <vt:lpstr>35 y 36 Urban sobre Ppo inicial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Blanes Frances</dc:creator>
  <dc:description/>
  <cp:lastModifiedBy>Luis Rodríguez Vives</cp:lastModifiedBy>
  <cp:revision>2</cp:revision>
  <cp:lastPrinted>2021-10-13T12:58:37Z</cp:lastPrinted>
  <dcterms:created xsi:type="dcterms:W3CDTF">2021-02-12T12:58:31Z</dcterms:created>
  <dcterms:modified xsi:type="dcterms:W3CDTF">2022-01-18T10:08:58Z</dcterms:modified>
  <dc:language>es-ES</dc:language>
</cp:coreProperties>
</file>